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630" yWindow="540" windowWidth="22695" windowHeight="8895" tabRatio="852" activeTab="58"/>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ФХД'!$H$82:$J$82</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ФХД'!$83:$91</definedName>
    <definedName name="BLOCK_POK_FHD_COLDVSNA_P2">'Показатели ФХД'!$116:$120</definedName>
    <definedName name="BLOCK_POK_FHD_HEAT_ONLY_REG_ORG_P1">'Показатели ФХД'!$56:$57</definedName>
    <definedName name="BLOCK_POK_FHD_HEAT_ONLY_REG_ORG_P2">'Показатели ФХД'!$81:$132</definedName>
    <definedName name="BLOCK_POK_FHD_HEAT_P1">'Показатели ФХД'!$33:$40</definedName>
    <definedName name="BLOCK_POK_FHD_HEAT_P2">'Показатели ФХД'!$73:$73</definedName>
    <definedName name="BLOCK_POK_FHD_HEAT_P3">'Показатели ФХД'!$100:$112</definedName>
    <definedName name="BLOCK_POK_FHD_HEAT_P4">'Показатели ФХД'!$114:$114</definedName>
    <definedName name="BLOCK_POK_FHD_HEAT_P5">'Показатели ФХД'!$121:$131</definedName>
    <definedName name="BLOCK_POK_FHD_HEAT_P6">'Показатели ФХД'!$47:$47</definedName>
    <definedName name="BLOCK_POK_FHD_HOTVSNA_P1">'Показатели ФХД'!$41:$43</definedName>
    <definedName name="BLOCK_POK_FHD_HOTVSNA_P2">'Показатели ФХД'!$92:$96</definedName>
    <definedName name="BLOCK_POK_FHD_NOT_HEAT_P1">'Показатели ФХД'!$67:$68</definedName>
    <definedName name="BLOCK_POK_FHD_NOT_HEAT_P2">'Показатели ФХД'!$81:$81</definedName>
    <definedName name="BLOCK_POK_FHD_NOT_HOTVSNA">'Показатели ФХД'!$48:$48</definedName>
    <definedName name="BLOCK_POK_FHD_VOTV_P1">'Показатели ФХД'!$97:$99</definedName>
    <definedName name="BLOCK_POK_FHD_VSNA">'Показатели ФХД'!$115:$115</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Детализация'!$14:$72</definedName>
    <definedName name="IP_DETAILED_IST_FIN_FACT_COLUMN_MARKER">'ИП. Детализация'!$AD$7</definedName>
    <definedName name="IP_DETAILED_LIST_IP_ID">'ИП. Детализация'!$A$73:$A$73</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план'!$K$11:$Q$11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5">ИП!$13:$14</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КНЭ'!$21:$23</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Комментарии!$C$11:$C$15</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ФХД'!$F$72</definedName>
    <definedName name="pIns_B_FHD_3">'Показатели ФХД'!$F$102</definedName>
    <definedName name="pIns_B_FHD_4">'Показатели ФХД'!$F$120</definedName>
    <definedName name="pIns_B_FHD_5">'Показатели ФХД'!$F$123</definedName>
    <definedName name="pIns_B_FHD_6">'Показатели ФХД'!$F$126</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Комментарии!$E$15</definedName>
    <definedName name="pIns_ED">ЭД!$E$13</definedName>
    <definedName name="pIns_IP_DETAILED">'ИП. Детализация'!$F$73</definedName>
    <definedName name="pIns_IP_FIN_PLAN">'ИП. Финансовый план'!$R$8</definedName>
    <definedName name="pIns_IP_MAIN">ИП!$G$15</definedName>
    <definedName name="pIns_IP_QRE">'ИП. КНЭ'!$F$24</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ФХД'!$J$132</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Детализация'!$AH$73</definedName>
    <definedName name="tblEnd_1_IP_FIN_PLAN">'ИП. Финансовый план'!$R$58</definedName>
    <definedName name="tblEnd_1_IP_MAIN">ИП!$AB$16</definedName>
    <definedName name="tblEnd_1_IP_QRE">'ИП. КНЭ'!$FX$24</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J60" i="33" s="1"/>
  <c r="L41" i="63"/>
  <c r="K41" i="63"/>
  <c r="J41" i="63"/>
  <c r="M41" i="63" s="1"/>
  <c r="I41" i="63"/>
  <c r="N40" i="63"/>
  <c r="L40" i="63"/>
  <c r="K40" i="63"/>
  <c r="J40" i="63"/>
  <c r="M40" i="63" s="1"/>
  <c r="I40" i="63"/>
  <c r="N39" i="63"/>
  <c r="L39" i="63"/>
  <c r="K39" i="63"/>
  <c r="J39" i="63"/>
  <c r="M39" i="63" s="1"/>
  <c r="I39" i="63"/>
  <c r="N38" i="63"/>
  <c r="L38" i="63"/>
  <c r="E57" i="33" s="1"/>
  <c r="K57" i="33" s="1"/>
  <c r="K38" i="63"/>
  <c r="J38" i="63"/>
  <c r="M38" i="63" s="1"/>
  <c r="I38" i="63"/>
  <c r="N37" i="63"/>
  <c r="J56" i="33" s="1"/>
  <c r="L37" i="63"/>
  <c r="K37" i="63"/>
  <c r="J37" i="63"/>
  <c r="M37" i="63" s="1"/>
  <c r="I37" i="63"/>
  <c r="N36" i="63"/>
  <c r="L36" i="63"/>
  <c r="K36" i="63"/>
  <c r="J36" i="63"/>
  <c r="M36" i="63" s="1"/>
  <c r="F55" i="33" s="1"/>
  <c r="I36" i="63"/>
  <c r="T35" i="63"/>
  <c r="M35" i="63"/>
  <c r="K35" i="63"/>
  <c r="N35" i="63" s="1"/>
  <c r="J54" i="33" s="1"/>
  <c r="J35" i="63"/>
  <c r="I35" i="63"/>
  <c r="L35" i="63" s="1"/>
  <c r="M34" i="63"/>
  <c r="K34" i="63"/>
  <c r="N34" i="63" s="1"/>
  <c r="J53" i="33" s="1"/>
  <c r="J34" i="63"/>
  <c r="I34" i="63"/>
  <c r="L34" i="63" s="1"/>
  <c r="T33" i="63"/>
  <c r="N33" i="63"/>
  <c r="J52" i="33" s="1"/>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J47" i="33" s="1"/>
  <c r="L28" i="63"/>
  <c r="K28" i="63"/>
  <c r="J28" i="63"/>
  <c r="M28" i="63" s="1"/>
  <c r="I28" i="63"/>
  <c r="N27" i="63"/>
  <c r="L27" i="63"/>
  <c r="K27" i="63"/>
  <c r="J27" i="63"/>
  <c r="M27" i="63" s="1"/>
  <c r="I27" i="63"/>
  <c r="T26" i="63"/>
  <c r="M26" i="63"/>
  <c r="K26" i="63"/>
  <c r="N26" i="63" s="1"/>
  <c r="J45" i="33" s="1"/>
  <c r="J26" i="63"/>
  <c r="I26" i="63"/>
  <c r="L26" i="63" s="1"/>
  <c r="M25" i="63"/>
  <c r="K25" i="63"/>
  <c r="N25" i="63" s="1"/>
  <c r="J44" i="33" s="1"/>
  <c r="J25" i="63"/>
  <c r="I25" i="63"/>
  <c r="L25" i="63" s="1"/>
  <c r="M24" i="63"/>
  <c r="K24" i="63"/>
  <c r="N24" i="63" s="1"/>
  <c r="J43" i="33" s="1"/>
  <c r="J24" i="63"/>
  <c r="I24" i="63"/>
  <c r="L24" i="63" s="1"/>
  <c r="M23" i="63"/>
  <c r="K23" i="63"/>
  <c r="N23" i="63" s="1"/>
  <c r="J42" i="33" s="1"/>
  <c r="J23" i="63"/>
  <c r="I23" i="63"/>
  <c r="L23" i="63" s="1"/>
  <c r="M22" i="63"/>
  <c r="K22" i="63"/>
  <c r="N22" i="63" s="1"/>
  <c r="J41" i="33" s="1"/>
  <c r="J22" i="63"/>
  <c r="I22" i="63"/>
  <c r="L22" i="63" s="1"/>
  <c r="M21" i="63"/>
  <c r="K21" i="63"/>
  <c r="N21" i="63" s="1"/>
  <c r="J33" i="33" s="1"/>
  <c r="J21" i="63"/>
  <c r="I21" i="63"/>
  <c r="L21" i="63" s="1"/>
  <c r="M20" i="63"/>
  <c r="K20" i="63"/>
  <c r="N20" i="63" s="1"/>
  <c r="J20" i="63"/>
  <c r="I20" i="63"/>
  <c r="L20" i="63" s="1"/>
  <c r="M19" i="63"/>
  <c r="K19" i="63"/>
  <c r="N19" i="63" s="1"/>
  <c r="J31" i="33" s="1"/>
  <c r="J19" i="63"/>
  <c r="I19" i="63"/>
  <c r="L19" i="63" s="1"/>
  <c r="M18" i="63"/>
  <c r="L18" i="63"/>
  <c r="E30" i="33" s="1"/>
  <c r="K18" i="63"/>
  <c r="N18" i="63" s="1"/>
  <c r="J18" i="63"/>
  <c r="I18" i="63"/>
  <c r="AA16" i="63"/>
  <c r="N16" i="63" s="1"/>
  <c r="I21" i="45" s="1"/>
  <c r="U15" i="63"/>
  <c r="M15" i="63" s="1"/>
  <c r="E19" i="45" s="1"/>
  <c r="N14" i="63"/>
  <c r="M13" i="63"/>
  <c r="E17" i="45" s="1"/>
  <c r="M12" i="63"/>
  <c r="AA11" i="63"/>
  <c r="N11" i="63" s="1"/>
  <c r="I15" i="45" s="1"/>
  <c r="M11" i="63"/>
  <c r="E15" i="45" s="1"/>
  <c r="N3" i="63"/>
  <c r="C34" i="62"/>
  <c r="C8" i="62"/>
  <c r="C7" i="62"/>
  <c r="D6" i="62"/>
  <c r="E5" i="62"/>
  <c r="C5" i="62" s="1"/>
  <c r="E3" i="62"/>
  <c r="C3" i="62" s="1"/>
  <c r="D5" i="45"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c r="L10" i="55"/>
  <c r="R10" i="55" s="1"/>
  <c r="K8" i="55"/>
  <c r="R2" i="55"/>
  <c r="P2" i="55" a="1"/>
  <c r="P2" i="55"/>
  <c r="P10" i="54" a="1"/>
  <c r="P10" i="54" s="1"/>
  <c r="K8" i="54"/>
  <c r="J8" i="54"/>
  <c r="G8" i="54"/>
  <c r="F8" i="54"/>
  <c r="R2" i="54"/>
  <c r="P2" i="54" a="1"/>
  <c r="P2" i="54"/>
  <c r="N9" i="53" a="1"/>
  <c r="N9" i="53" s="1"/>
  <c r="J9" i="53"/>
  <c r="P9" i="53" s="1"/>
  <c r="E5" i="53"/>
  <c r="P2" i="53"/>
  <c r="N2" i="53" a="1"/>
  <c r="N2" i="53"/>
  <c r="G24" i="52"/>
  <c r="E24" i="52"/>
  <c r="G12" i="52"/>
  <c r="F12" i="52"/>
  <c r="E12" i="52"/>
  <c r="D6" i="52"/>
  <c r="D5" i="52"/>
  <c r="BA115" i="51"/>
  <c r="BA114" i="51"/>
  <c r="BA113" i="51"/>
  <c r="BA102" i="51"/>
  <c r="BA100" i="51"/>
  <c r="BA99" i="51"/>
  <c r="I53" i="51"/>
  <c r="H53" i="51"/>
  <c r="G53" i="51"/>
  <c r="I52" i="51"/>
  <c r="I51" i="51"/>
  <c r="I50" i="51"/>
  <c r="H50" i="51"/>
  <c r="G50" i="51"/>
  <c r="I49" i="51"/>
  <c r="H49" i="51"/>
  <c r="G49" i="51"/>
  <c r="I48" i="51"/>
  <c r="H48" i="51"/>
  <c r="F32" i="51" s="1"/>
  <c r="G48" i="51"/>
  <c r="J47" i="51"/>
  <c r="I47" i="51"/>
  <c r="H47" i="51"/>
  <c r="G47" i="51"/>
  <c r="J46" i="51"/>
  <c r="I46" i="51"/>
  <c r="K45" i="51"/>
  <c r="J45" i="51"/>
  <c r="I45" i="51"/>
  <c r="G44" i="51"/>
  <c r="H52" i="51" s="1"/>
  <c r="G36" i="51"/>
  <c r="E31" i="62" s="1"/>
  <c r="C31" i="62" s="1"/>
  <c r="D4" i="8" s="1"/>
  <c r="F36" i="51"/>
  <c r="E32" i="51"/>
  <c r="F29" i="51"/>
  <c r="E29" i="51"/>
  <c r="L5" i="51"/>
  <c r="L4" i="51"/>
  <c r="L6" i="51" s="1"/>
  <c r="L3" i="51"/>
  <c r="I14" i="50"/>
  <c r="G14" i="50"/>
  <c r="I11"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D5" i="46"/>
  <c r="F21" i="45"/>
  <c r="H19" i="45"/>
  <c r="G19" i="45"/>
  <c r="F19" i="45"/>
  <c r="I18" i="45"/>
  <c r="E16" i="45"/>
  <c r="H14" i="45"/>
  <c r="G14" i="45"/>
  <c r="G11" i="45"/>
  <c r="G10" i="45"/>
  <c r="G9" i="45"/>
  <c r="D6" i="45"/>
  <c r="F2" i="45"/>
  <c r="F21" i="44"/>
  <c r="F6" i="44"/>
  <c r="K57" i="43"/>
  <c r="H57" i="43"/>
  <c r="K56" i="43"/>
  <c r="H56" i="43"/>
  <c r="K55" i="43"/>
  <c r="H55" i="43"/>
  <c r="P54" i="43"/>
  <c r="O54" i="43"/>
  <c r="N54" i="43"/>
  <c r="M54" i="43"/>
  <c r="L54" i="43"/>
  <c r="K54" i="43" s="1"/>
  <c r="I54" i="43"/>
  <c r="H54" i="43" s="1"/>
  <c r="K53" i="43"/>
  <c r="H53" i="43"/>
  <c r="K52" i="43"/>
  <c r="H52" i="43"/>
  <c r="K51" i="43"/>
  <c r="H51" i="43"/>
  <c r="K50" i="43"/>
  <c r="H50" i="43"/>
  <c r="P49" i="43"/>
  <c r="O49" i="43"/>
  <c r="N49" i="43"/>
  <c r="N48" i="43" s="1"/>
  <c r="N58" i="43" s="1"/>
  <c r="M49" i="43"/>
  <c r="L49" i="43"/>
  <c r="I49" i="43"/>
  <c r="P48" i="43"/>
  <c r="O48" i="43"/>
  <c r="M48" i="43"/>
  <c r="L48" i="43"/>
  <c r="K48" i="43" s="1"/>
  <c r="K47" i="43"/>
  <c r="H47" i="43"/>
  <c r="K46" i="43"/>
  <c r="H46" i="43"/>
  <c r="K45" i="43"/>
  <c r="H45" i="43"/>
  <c r="P44" i="43"/>
  <c r="O44" i="43"/>
  <c r="N44" i="43"/>
  <c r="M44" i="43"/>
  <c r="L44" i="43"/>
  <c r="K44" i="43" s="1"/>
  <c r="I44" i="43"/>
  <c r="H44" i="43" s="1"/>
  <c r="K43" i="43"/>
  <c r="H43" i="43"/>
  <c r="K42" i="43"/>
  <c r="H42" i="43"/>
  <c r="K41" i="43"/>
  <c r="H41" i="43"/>
  <c r="K40" i="43"/>
  <c r="H40" i="43"/>
  <c r="P39" i="43"/>
  <c r="O39" i="43"/>
  <c r="N39" i="43"/>
  <c r="N38" i="43" s="1"/>
  <c r="M39" i="43"/>
  <c r="L39" i="43"/>
  <c r="I39" i="43"/>
  <c r="P38" i="43"/>
  <c r="O38" i="43"/>
  <c r="O58" i="43" s="1"/>
  <c r="M38" i="43"/>
  <c r="M58" i="43" s="1"/>
  <c r="L38" i="43"/>
  <c r="K38" i="43" s="1"/>
  <c r="M36" i="43"/>
  <c r="K35" i="43"/>
  <c r="H35" i="43"/>
  <c r="K34" i="43"/>
  <c r="H34" i="43"/>
  <c r="K33" i="43"/>
  <c r="H33" i="43"/>
  <c r="P32" i="43"/>
  <c r="O32" i="43"/>
  <c r="N32" i="43"/>
  <c r="M32" i="43"/>
  <c r="L32" i="43"/>
  <c r="K32" i="43"/>
  <c r="I32" i="43"/>
  <c r="H32" i="43" s="1"/>
  <c r="K31" i="43"/>
  <c r="H31" i="43"/>
  <c r="K30" i="43"/>
  <c r="H30" i="43"/>
  <c r="K29" i="43"/>
  <c r="H29" i="43"/>
  <c r="P28" i="43"/>
  <c r="O28" i="43"/>
  <c r="N28" i="43"/>
  <c r="M28" i="43"/>
  <c r="L28" i="43"/>
  <c r="K28" i="43" s="1"/>
  <c r="I28" i="43"/>
  <c r="H28" i="43"/>
  <c r="K27" i="43"/>
  <c r="H27" i="43"/>
  <c r="K26" i="43"/>
  <c r="H26" i="43"/>
  <c r="K25" i="43"/>
  <c r="H25" i="43"/>
  <c r="K24" i="43"/>
  <c r="H24" i="43"/>
  <c r="K23" i="43"/>
  <c r="H23" i="43"/>
  <c r="K22" i="43"/>
  <c r="H22" i="43"/>
  <c r="K21" i="43"/>
  <c r="H21" i="43"/>
  <c r="K20" i="43"/>
  <c r="H20" i="43"/>
  <c r="K19" i="43"/>
  <c r="H19" i="43"/>
  <c r="K18" i="43"/>
  <c r="H18" i="43"/>
  <c r="K17" i="43"/>
  <c r="H17" i="43"/>
  <c r="K16" i="43"/>
  <c r="H16" i="43"/>
  <c r="P15" i="43"/>
  <c r="P36" i="43" s="1"/>
  <c r="O15" i="43"/>
  <c r="N15" i="43"/>
  <c r="N36" i="43" s="1"/>
  <c r="M15" i="43"/>
  <c r="L15" i="43"/>
  <c r="I15" i="43"/>
  <c r="K11" i="43"/>
  <c r="H11" i="43"/>
  <c r="F6" i="43"/>
  <c r="AD69" i="42"/>
  <c r="AD68" i="42"/>
  <c r="AD57" i="42"/>
  <c r="AD56" i="42"/>
  <c r="AD45" i="42"/>
  <c r="AD44" i="42"/>
  <c r="F14" i="42"/>
  <c r="F6" i="42"/>
  <c r="H17" i="41"/>
  <c r="P13"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H12" i="38"/>
  <c r="H11" i="38"/>
  <c r="H10" i="38"/>
  <c r="E7" i="38"/>
  <c r="E33" i="37"/>
  <c r="I32" i="37"/>
  <c r="I16" i="37" s="1"/>
  <c r="H32" i="37"/>
  <c r="H16" i="37"/>
  <c r="H12" i="37"/>
  <c r="H11" i="37"/>
  <c r="I10" i="37"/>
  <c r="H10" i="37"/>
  <c r="E7" i="37"/>
  <c r="I6" i="36"/>
  <c r="F2" i="36"/>
  <c r="E2" i="36"/>
  <c r="L12" i="35"/>
  <c r="L11" i="35"/>
  <c r="L10" i="35"/>
  <c r="I7" i="35"/>
  <c r="L3" i="35"/>
  <c r="F2" i="35"/>
  <c r="E2" i="35"/>
  <c r="V20" i="34"/>
  <c r="Q20" i="34"/>
  <c r="V17" i="34"/>
  <c r="Q17" i="34"/>
  <c r="E6" i="34"/>
  <c r="E5" i="34"/>
  <c r="J131" i="33"/>
  <c r="F131" i="33"/>
  <c r="E131" i="33"/>
  <c r="J130" i="33"/>
  <c r="F130" i="33"/>
  <c r="E130" i="33"/>
  <c r="J129" i="33"/>
  <c r="F129" i="33"/>
  <c r="E129" i="33"/>
  <c r="J128" i="33"/>
  <c r="F128" i="33"/>
  <c r="E128" i="33"/>
  <c r="J127" i="33"/>
  <c r="F127" i="33"/>
  <c r="E127" i="33"/>
  <c r="J124" i="33"/>
  <c r="F124" i="33"/>
  <c r="E124" i="33"/>
  <c r="E125" i="33" s="1"/>
  <c r="J121" i="33"/>
  <c r="F121" i="33"/>
  <c r="E121" i="33"/>
  <c r="E122" i="33" s="1"/>
  <c r="J118" i="33"/>
  <c r="F118" i="33"/>
  <c r="E118" i="33"/>
  <c r="E119" i="33" s="1"/>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E101" i="33"/>
  <c r="J100" i="33"/>
  <c r="F100"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I88" i="33"/>
  <c r="H88" i="33"/>
  <c r="F88" i="33"/>
  <c r="E88" i="33"/>
  <c r="J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E70" i="33"/>
  <c r="K70" i="33" s="1"/>
  <c r="K69" i="33"/>
  <c r="J69" i="33"/>
  <c r="I69" i="33"/>
  <c r="H69" i="33"/>
  <c r="F69" i="33"/>
  <c r="E69" i="33"/>
  <c r="E71" i="33" s="1"/>
  <c r="L68" i="33"/>
  <c r="K68" i="33"/>
  <c r="J68" i="33"/>
  <c r="F68" i="33"/>
  <c r="E68" i="33"/>
  <c r="K67" i="33"/>
  <c r="J67" i="33"/>
  <c r="F67" i="33"/>
  <c r="E67" i="33"/>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F60" i="33"/>
  <c r="E60" i="33"/>
  <c r="K60" i="33" s="1"/>
  <c r="J59" i="33"/>
  <c r="F59" i="33"/>
  <c r="E59" i="33"/>
  <c r="K59" i="33" s="1"/>
  <c r="J58" i="33"/>
  <c r="F58" i="33"/>
  <c r="E58" i="33"/>
  <c r="K58" i="33" s="1"/>
  <c r="J57" i="33"/>
  <c r="F57" i="33"/>
  <c r="F56" i="33"/>
  <c r="E56" i="33"/>
  <c r="K56" i="33" s="1"/>
  <c r="J55" i="33"/>
  <c r="E55" i="33"/>
  <c r="K55" i="33" s="1"/>
  <c r="F54" i="33"/>
  <c r="E54" i="33"/>
  <c r="K54" i="33" s="1"/>
  <c r="F53" i="33"/>
  <c r="E53" i="33"/>
  <c r="K53" i="33" s="1"/>
  <c r="F52" i="33"/>
  <c r="E52" i="33"/>
  <c r="K52" i="33" s="1"/>
  <c r="J51" i="33"/>
  <c r="F51" i="33"/>
  <c r="E51" i="33"/>
  <c r="K51" i="33" s="1"/>
  <c r="J50" i="33"/>
  <c r="F50" i="33"/>
  <c r="E50" i="33"/>
  <c r="K50" i="33" s="1"/>
  <c r="J49" i="33"/>
  <c r="F49" i="33"/>
  <c r="E49" i="33"/>
  <c r="K49" i="33" s="1"/>
  <c r="J48" i="33"/>
  <c r="F48" i="33"/>
  <c r="E48" i="33"/>
  <c r="K48" i="33" s="1"/>
  <c r="F47" i="33"/>
  <c r="E47" i="33"/>
  <c r="K47" i="33" s="1"/>
  <c r="J46" i="33"/>
  <c r="F46" i="33"/>
  <c r="E46" i="33"/>
  <c r="K46" i="33" s="1"/>
  <c r="F45" i="33"/>
  <c r="E45" i="33"/>
  <c r="K45" i="33" s="1"/>
  <c r="F44" i="33"/>
  <c r="E44" i="33"/>
  <c r="K44" i="33" s="1"/>
  <c r="F43" i="33"/>
  <c r="E43" i="33"/>
  <c r="K43" i="33" s="1"/>
  <c r="F42" i="33"/>
  <c r="E42" i="33"/>
  <c r="K42" i="33" s="1"/>
  <c r="F41" i="33"/>
  <c r="E41" i="33"/>
  <c r="K41" i="33" s="1"/>
  <c r="K40" i="33"/>
  <c r="K39" i="33"/>
  <c r="K38" i="33"/>
  <c r="K37" i="33"/>
  <c r="K36" i="33"/>
  <c r="K35" i="33"/>
  <c r="K34" i="33"/>
  <c r="I31" i="33" s="1"/>
  <c r="I137" i="33" s="1"/>
  <c r="B34" i="33"/>
  <c r="K33" i="33"/>
  <c r="I33" i="33"/>
  <c r="H33" i="33"/>
  <c r="F33" i="33"/>
  <c r="E33" i="33"/>
  <c r="K32" i="33"/>
  <c r="J32" i="33"/>
  <c r="F32" i="33"/>
  <c r="E32" i="33"/>
  <c r="F31" i="33"/>
  <c r="E31" i="33"/>
  <c r="J30" i="33"/>
  <c r="F30" i="33"/>
  <c r="H27" i="33"/>
  <c r="H26" i="33"/>
  <c r="I25"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S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J6" i="31" s="1"/>
  <c r="K7" i="31" s="1"/>
  <c r="S7"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J6" i="30" s="1"/>
  <c r="K7" i="30" s="1"/>
  <c r="S7"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J6"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S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J6" i="24"/>
  <c r="AN5" i="24"/>
  <c r="S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AN4" i="23"/>
  <c r="AC4" i="23"/>
  <c r="S4" i="23"/>
  <c r="AN3" i="23"/>
  <c r="AC3" i="23"/>
  <c r="S3" i="23"/>
  <c r="AN2" i="23"/>
  <c r="AK2" i="23"/>
  <c r="AC2" i="23"/>
  <c r="S2" i="23"/>
  <c r="AN53" i="22"/>
  <c r="AN52" i="22"/>
  <c r="AN51" i="22"/>
  <c r="AN50" i="22"/>
  <c r="AN49" i="22"/>
  <c r="AN48" i="22"/>
  <c r="AN47" i="22"/>
  <c r="AE47" i="22"/>
  <c r="X47" i="22"/>
  <c r="AN46" i="22"/>
  <c r="AK46" i="22"/>
  <c r="AN45" i="22"/>
  <c r="AN44" i="22"/>
  <c r="I44" i="22"/>
  <c r="AN43" i="22"/>
  <c r="AN42" i="22"/>
  <c r="S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AN5" i="22"/>
  <c r="S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AC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J54" i="19"/>
  <c r="AT53" i="19"/>
  <c r="I53" i="19"/>
  <c r="AT52" i="19"/>
  <c r="AG52" i="19"/>
  <c r="AT51" i="19"/>
  <c r="AT50" i="19"/>
  <c r="AG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L9" i="19"/>
  <c r="U9" i="19" s="1"/>
  <c r="AT8" i="19"/>
  <c r="K8" i="19"/>
  <c r="U8" i="19" s="1"/>
  <c r="AT7" i="19"/>
  <c r="AT6" i="19"/>
  <c r="AT5" i="19"/>
  <c r="AG5" i="19"/>
  <c r="U5" i="19"/>
  <c r="I6" i="19" s="1"/>
  <c r="J7" i="19" s="1"/>
  <c r="U7" i="19" s="1"/>
  <c r="AT4" i="19"/>
  <c r="AG4" i="19"/>
  <c r="U4" i="19"/>
  <c r="AT3" i="19"/>
  <c r="AG3" i="19"/>
  <c r="U3" i="19"/>
  <c r="AT2" i="19"/>
  <c r="AG2" i="19"/>
  <c r="U2" i="19"/>
  <c r="AP57" i="18"/>
  <c r="AP56" i="18"/>
  <c r="AP55" i="18"/>
  <c r="AP54" i="18"/>
  <c r="AP53" i="18"/>
  <c r="AP52" i="18"/>
  <c r="AP51" i="18"/>
  <c r="AP50" i="18"/>
  <c r="AG50" i="18"/>
  <c r="Y50" i="18"/>
  <c r="AP49" i="18"/>
  <c r="AP48" i="18"/>
  <c r="J48" i="18"/>
  <c r="AP47" i="18"/>
  <c r="I47" i="18"/>
  <c r="AP46" i="18"/>
  <c r="AD46" i="18"/>
  <c r="AP45" i="18"/>
  <c r="AP44" i="18"/>
  <c r="AD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K8" i="18" s="1"/>
  <c r="S8"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S7" i="17" s="1"/>
  <c r="AP4" i="17"/>
  <c r="AD4" i="17"/>
  <c r="S4" i="17"/>
  <c r="AP3" i="17"/>
  <c r="AD3" i="17"/>
  <c r="S3" i="17"/>
  <c r="AP2" i="17"/>
  <c r="AD2" i="17"/>
  <c r="S2" i="17"/>
  <c r="AP57" i="16"/>
  <c r="AP56" i="16"/>
  <c r="AP55" i="16"/>
  <c r="AP54" i="16"/>
  <c r="AP53" i="16"/>
  <c r="AP52" i="16"/>
  <c r="AP51" i="16"/>
  <c r="AP50" i="16"/>
  <c r="AG50" i="16"/>
  <c r="Y50" i="16"/>
  <c r="AP49" i="16"/>
  <c r="AP48" i="16"/>
  <c r="AP47" i="16"/>
  <c r="AP46" i="16"/>
  <c r="AD46" i="16"/>
  <c r="AP45" i="16"/>
  <c r="AP44" i="16"/>
  <c r="AD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K8" i="16"/>
  <c r="S8" i="16" s="1"/>
  <c r="AP7" i="16"/>
  <c r="AP6" i="16"/>
  <c r="AP5" i="16"/>
  <c r="AD5" i="16"/>
  <c r="S5" i="16"/>
  <c r="I6" i="16" s="1"/>
  <c r="J7" i="16" s="1"/>
  <c r="S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S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J7" i="15"/>
  <c r="AP6" i="15"/>
  <c r="S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S47" i="14"/>
  <c r="AP46" i="14"/>
  <c r="S46" i="14"/>
  <c r="I47" i="14" s="1"/>
  <c r="J48" i="14" s="1"/>
  <c r="AP45" i="14"/>
  <c r="AD45" i="14"/>
  <c r="AP44" i="14"/>
  <c r="S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J7" i="14" s="1"/>
  <c r="AP4" i="14"/>
  <c r="AD4" i="14"/>
  <c r="S4" i="14"/>
  <c r="AP3" i="14"/>
  <c r="AD3" i="14"/>
  <c r="S3" i="14"/>
  <c r="AP2" i="14"/>
  <c r="AD2" i="14"/>
  <c r="S2" i="14"/>
  <c r="AP57" i="13"/>
  <c r="AP56" i="13"/>
  <c r="AP55" i="13"/>
  <c r="AP54" i="13"/>
  <c r="AP53" i="13"/>
  <c r="AP52" i="13"/>
  <c r="AP51" i="13"/>
  <c r="AP50" i="13"/>
  <c r="AG50" i="13"/>
  <c r="Y50" i="13"/>
  <c r="AP49" i="13"/>
  <c r="AP48" i="13"/>
  <c r="AP47" i="13"/>
  <c r="I47" i="13"/>
  <c r="S47" i="13" s="1"/>
  <c r="AP46" i="13"/>
  <c r="S46" i="13"/>
  <c r="AP45" i="13"/>
  <c r="AD45" i="13"/>
  <c r="AP44" i="13"/>
  <c r="AD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J7" i="13"/>
  <c r="S7" i="13" s="1"/>
  <c r="AP6" i="13"/>
  <c r="S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S46" i="12"/>
  <c r="I47" i="12" s="1"/>
  <c r="S47" i="12" s="1"/>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D46" i="11"/>
  <c r="AP45" i="11"/>
  <c r="AP44" i="11"/>
  <c r="AD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J7" i="11" s="1"/>
  <c r="AP5" i="11"/>
  <c r="AD5" i="11"/>
  <c r="S5" i="1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G34" i="7"/>
  <c r="E34" i="7"/>
  <c r="E33" i="7"/>
  <c r="A33" i="7"/>
  <c r="D33" i="7" s="1"/>
  <c r="G29" i="7"/>
  <c r="G28" i="7"/>
  <c r="G27" i="7"/>
  <c r="D19" i="7"/>
  <c r="D20"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S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AO84" i="5"/>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AP63" i="5"/>
  <c r="AO63" i="5"/>
  <c r="S44" i="13" s="1"/>
  <c r="AN63" i="5"/>
  <c r="S43" i="13" s="1"/>
  <c r="AM63" i="5"/>
  <c r="AL63" i="5"/>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AM48" i="5"/>
  <c r="AD46" i="15" s="1"/>
  <c r="AL48" i="5"/>
  <c r="AD45" i="15" s="1"/>
  <c r="AK48" i="5"/>
  <c r="AD44" i="15" s="1"/>
  <c r="AJ48" i="5"/>
  <c r="AI48" i="5"/>
  <c r="AH48" i="5"/>
  <c r="AQ43" i="5"/>
  <c r="S46" i="18" s="1"/>
  <c r="AP43" i="5"/>
  <c r="S45" i="18" s="1"/>
  <c r="AO43" i="5"/>
  <c r="S44" i="18" s="1"/>
  <c r="AN43" i="5"/>
  <c r="S43" i="18" s="1"/>
  <c r="AM43" i="5"/>
  <c r="AL43" i="5"/>
  <c r="AD45" i="18" s="1"/>
  <c r="AK43" i="5"/>
  <c r="AJ43" i="5"/>
  <c r="AI43" i="5"/>
  <c r="AH43" i="5"/>
  <c r="AQ38" i="5"/>
  <c r="S46" i="17" s="1"/>
  <c r="J48" i="17" s="1"/>
  <c r="AP38" i="5"/>
  <c r="S45" i="17" s="1"/>
  <c r="AO38" i="5"/>
  <c r="S44" i="17" s="1"/>
  <c r="AN38" i="5"/>
  <c r="S43" i="17" s="1"/>
  <c r="AM38" i="5"/>
  <c r="AD46" i="17" s="1"/>
  <c r="AL38" i="5"/>
  <c r="AD45" i="17" s="1"/>
  <c r="AK38" i="5"/>
  <c r="AD44" i="17" s="1"/>
  <c r="AJ38" i="5"/>
  <c r="AI38" i="5"/>
  <c r="AH38" i="5"/>
  <c r="AQ33" i="5"/>
  <c r="U52" i="19" s="1"/>
  <c r="AP33" i="5"/>
  <c r="U51" i="19" s="1"/>
  <c r="AO33" i="5"/>
  <c r="U50" i="19" s="1"/>
  <c r="AN33" i="5"/>
  <c r="U49" i="19" s="1"/>
  <c r="AM33" i="5"/>
  <c r="AL33" i="5"/>
  <c r="AG51" i="19" s="1"/>
  <c r="AK33" i="5"/>
  <c r="AJ33" i="5"/>
  <c r="AI33" i="5"/>
  <c r="AH33" i="5"/>
  <c r="AQ28" i="5"/>
  <c r="AP28" i="5"/>
  <c r="L21" i="64" s="1"/>
  <c r="AO28" i="5"/>
  <c r="AN28" i="5"/>
  <c r="AM28" i="5"/>
  <c r="O22" i="64" s="1"/>
  <c r="AL28" i="5"/>
  <c r="AK28" i="5"/>
  <c r="O20" i="64" s="1"/>
  <c r="AJ28" i="5"/>
  <c r="AI28" i="5"/>
  <c r="AH28" i="5"/>
  <c r="AQ23" i="5"/>
  <c r="AP23" i="5"/>
  <c r="AO23" i="5"/>
  <c r="AN23" i="5"/>
  <c r="AM23" i="5"/>
  <c r="AL23" i="5"/>
  <c r="AK23" i="5"/>
  <c r="AJ23" i="5"/>
  <c r="AI23" i="5"/>
  <c r="AH23" i="5"/>
  <c r="AQ18" i="5"/>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L13" i="5"/>
  <c r="AD45" i="11" s="1"/>
  <c r="AK13" i="5"/>
  <c r="AJ13" i="5"/>
  <c r="AI13" i="5"/>
  <c r="AH13" i="5"/>
  <c r="D6" i="5"/>
  <c r="D5" i="5"/>
  <c r="R13" i="4"/>
  <c r="P13" i="4"/>
  <c r="I10" i="38" s="1"/>
  <c r="I13" i="4"/>
  <c r="Q13" i="4" s="1"/>
  <c r="E13" i="4"/>
  <c r="E7" i="4"/>
  <c r="D5" i="4"/>
  <c r="D4" i="4"/>
  <c r="O13" i="3"/>
  <c r="M13" i="3" a="1"/>
  <c r="M13" i="3" s="1"/>
  <c r="E13" i="3"/>
  <c r="G12" i="3"/>
  <c r="E12" i="3"/>
  <c r="E4" i="3"/>
  <c r="E59" i="2"/>
  <c r="E49" i="2"/>
  <c r="E41" i="2"/>
  <c r="E31" i="2"/>
  <c r="E27" i="2"/>
  <c r="E26" i="2"/>
  <c r="F25" i="2"/>
  <c r="E22" i="2"/>
  <c r="E21" i="2"/>
  <c r="F20" i="2"/>
  <c r="E19" i="2"/>
  <c r="I9" i="2"/>
  <c r="E5" i="2"/>
  <c r="E3" i="2"/>
  <c r="E2" i="2"/>
  <c r="B5" i="1"/>
  <c r="M10" i="55"/>
  <c r="M2" i="55"/>
  <c r="M2" i="54"/>
  <c r="AT47" i="31"/>
  <c r="AT7" i="31"/>
  <c r="AL7" i="28"/>
  <c r="AL48" i="25"/>
  <c r="AL46" i="22"/>
  <c r="AL7" i="21"/>
  <c r="AV51" i="20"/>
  <c r="AN49" i="18"/>
  <c r="AN49" i="17"/>
  <c r="AN49" i="16"/>
  <c r="AN49" i="15"/>
  <c r="AN8" i="14"/>
  <c r="AL46" i="27"/>
  <c r="AL46" i="24"/>
  <c r="AL7" i="23"/>
  <c r="AR56" i="19"/>
  <c r="AR55" i="19"/>
  <c r="AN8" i="15"/>
  <c r="AN49" i="14"/>
  <c r="AN8" i="13"/>
  <c r="AN49" i="12"/>
  <c r="AL46" i="28"/>
  <c r="AL7" i="27"/>
  <c r="AL8" i="25"/>
  <c r="AL46" i="23"/>
  <c r="AL46" i="21"/>
  <c r="AN8" i="16"/>
  <c r="Y25" i="64"/>
  <c r="M10" i="54"/>
  <c r="AL7" i="24"/>
  <c r="AT7" i="30"/>
  <c r="AN8" i="18"/>
  <c r="AN49" i="13"/>
  <c r="AN8" i="12"/>
  <c r="AT47" i="30"/>
  <c r="AV8" i="20"/>
  <c r="AR8" i="19"/>
  <c r="AN8" i="11"/>
  <c r="AL7" i="22"/>
  <c r="AN8" i="17"/>
  <c r="AN49" i="11"/>
  <c r="J13" i="3"/>
  <c r="H46" i="51" l="1"/>
  <c r="G51" i="51"/>
  <c r="G52" i="51"/>
  <c r="J45" i="24"/>
  <c r="S44" i="24"/>
  <c r="J45" i="28"/>
  <c r="S44" i="28"/>
  <c r="S47" i="11"/>
  <c r="J48" i="11"/>
  <c r="J50" i="20"/>
  <c r="K51" i="20"/>
  <c r="S51" i="20" s="1"/>
  <c r="I49" i="20"/>
  <c r="D36" i="7"/>
  <c r="D34" i="7"/>
  <c r="D35" i="7"/>
  <c r="D37" i="7"/>
  <c r="D38" i="7" s="1"/>
  <c r="D39" i="7" s="1"/>
  <c r="S7" i="11"/>
  <c r="K8" i="11"/>
  <c r="S8" i="11" s="1"/>
  <c r="K49" i="14"/>
  <c r="S49" i="14" s="1"/>
  <c r="S48" i="14"/>
  <c r="K7" i="27"/>
  <c r="S7" i="27" s="1"/>
  <c r="S6" i="27"/>
  <c r="J45" i="21"/>
  <c r="S44" i="21"/>
  <c r="J45" i="23"/>
  <c r="S44" i="23"/>
  <c r="S45" i="31"/>
  <c r="J46" i="31"/>
  <c r="J45" i="27"/>
  <c r="S44" i="27"/>
  <c r="I10" i="50"/>
  <c r="H10" i="45"/>
  <c r="I11" i="38"/>
  <c r="I11" i="37"/>
  <c r="I8" i="39"/>
  <c r="H15" i="34"/>
  <c r="I26" i="33"/>
  <c r="M11" i="35"/>
  <c r="I27" i="40"/>
  <c r="S48" i="17"/>
  <c r="K49" i="17"/>
  <c r="S49" i="17" s="1"/>
  <c r="S47" i="15"/>
  <c r="J48" i="15"/>
  <c r="J47" i="25"/>
  <c r="K48" i="25"/>
  <c r="S48" i="25" s="1"/>
  <c r="I46" i="25"/>
  <c r="S7" i="14"/>
  <c r="K8" i="14"/>
  <c r="S8" i="14" s="1"/>
  <c r="G209" i="48"/>
  <c r="G87" i="48"/>
  <c r="G270" i="48"/>
  <c r="G148" i="48"/>
  <c r="G24" i="48"/>
  <c r="G5" i="48"/>
  <c r="F273" i="48"/>
  <c r="F151" i="48"/>
  <c r="F27" i="48"/>
  <c r="F212" i="48"/>
  <c r="F90" i="48"/>
  <c r="F215" i="48"/>
  <c r="F93" i="48"/>
  <c r="F276" i="48"/>
  <c r="F154" i="48"/>
  <c r="F30" i="48"/>
  <c r="O21" i="64"/>
  <c r="AD45" i="16"/>
  <c r="G279" i="48"/>
  <c r="G157" i="48"/>
  <c r="G33" i="48"/>
  <c r="G218" i="48"/>
  <c r="G96" i="48"/>
  <c r="F221" i="48"/>
  <c r="F99" i="48"/>
  <c r="F282" i="48"/>
  <c r="F160" i="48"/>
  <c r="F36" i="48"/>
  <c r="G224" i="48"/>
  <c r="G102" i="48"/>
  <c r="F227" i="48"/>
  <c r="F105" i="48"/>
  <c r="F288" i="48"/>
  <c r="F166" i="48"/>
  <c r="F42" i="48"/>
  <c r="G291" i="48"/>
  <c r="G169" i="48"/>
  <c r="G45" i="48"/>
  <c r="G230" i="48"/>
  <c r="G108" i="48"/>
  <c r="AB45" i="20"/>
  <c r="F233" i="48"/>
  <c r="F111" i="48"/>
  <c r="F294" i="48"/>
  <c r="F172" i="48"/>
  <c r="F48" i="48"/>
  <c r="F297" i="48"/>
  <c r="F175" i="48"/>
  <c r="F51" i="48"/>
  <c r="F236" i="48"/>
  <c r="F114" i="48"/>
  <c r="G300" i="48"/>
  <c r="G178" i="48"/>
  <c r="G54" i="48"/>
  <c r="AC41" i="22"/>
  <c r="F303" i="48"/>
  <c r="F181" i="48"/>
  <c r="F57" i="48"/>
  <c r="F242" i="48"/>
  <c r="F120" i="48"/>
  <c r="G245" i="48"/>
  <c r="G123" i="48"/>
  <c r="AC41" i="24"/>
  <c r="G306" i="48"/>
  <c r="G184" i="48"/>
  <c r="G60" i="48"/>
  <c r="F309" i="48"/>
  <c r="F187" i="48"/>
  <c r="F63" i="48"/>
  <c r="F248" i="48"/>
  <c r="F126" i="48"/>
  <c r="G312" i="48"/>
  <c r="G190" i="48"/>
  <c r="G66" i="48"/>
  <c r="F315" i="48"/>
  <c r="F193" i="48"/>
  <c r="F69" i="48"/>
  <c r="F254" i="48"/>
  <c r="F132" i="48"/>
  <c r="G257" i="48"/>
  <c r="G135" i="48"/>
  <c r="G318" i="48"/>
  <c r="G196" i="48"/>
  <c r="G72" i="48"/>
  <c r="AD46" i="32"/>
  <c r="F321" i="48"/>
  <c r="F199" i="48"/>
  <c r="F75" i="48"/>
  <c r="F260" i="48"/>
  <c r="F138" i="48"/>
  <c r="G324" i="48"/>
  <c r="G202" i="48"/>
  <c r="G78" i="48"/>
  <c r="AC41" i="28"/>
  <c r="F327" i="48"/>
  <c r="F205" i="48"/>
  <c r="F81" i="48"/>
  <c r="F266" i="48"/>
  <c r="F144" i="48"/>
  <c r="D23" i="7"/>
  <c r="AD43" i="11"/>
  <c r="S45" i="16"/>
  <c r="S7" i="18"/>
  <c r="S48" i="18"/>
  <c r="K49" i="18"/>
  <c r="S49" i="18" s="1"/>
  <c r="K55" i="19"/>
  <c r="U54" i="19"/>
  <c r="S6" i="22"/>
  <c r="K7" i="22"/>
  <c r="S7" i="22" s="1"/>
  <c r="S44" i="22"/>
  <c r="J45" i="22"/>
  <c r="F270" i="48"/>
  <c r="F148" i="48"/>
  <c r="F24" i="48"/>
  <c r="G212" i="48"/>
  <c r="G90" i="48"/>
  <c r="AD43" i="12"/>
  <c r="O19" i="64"/>
  <c r="G276" i="48"/>
  <c r="G154" i="48"/>
  <c r="G30" i="48"/>
  <c r="L19" i="64"/>
  <c r="S43" i="16"/>
  <c r="F279" i="48"/>
  <c r="F157" i="48"/>
  <c r="F33" i="48"/>
  <c r="F218" i="48"/>
  <c r="F96" i="48"/>
  <c r="G221" i="48"/>
  <c r="G99" i="48"/>
  <c r="G282" i="48"/>
  <c r="G160" i="48"/>
  <c r="G36" i="48"/>
  <c r="F285" i="48"/>
  <c r="F163" i="48"/>
  <c r="F39" i="48"/>
  <c r="F224" i="48"/>
  <c r="F102" i="48"/>
  <c r="G288" i="48"/>
  <c r="G166" i="48"/>
  <c r="G42" i="48"/>
  <c r="AD43" i="15"/>
  <c r="F291" i="48"/>
  <c r="F169" i="48"/>
  <c r="F45" i="48"/>
  <c r="F230" i="48"/>
  <c r="F108" i="48"/>
  <c r="G233" i="48"/>
  <c r="G111" i="48"/>
  <c r="G294" i="48"/>
  <c r="G172" i="48"/>
  <c r="G48" i="48"/>
  <c r="AC42" i="25"/>
  <c r="S45" i="14"/>
  <c r="S45" i="13"/>
  <c r="G236" i="48"/>
  <c r="G114" i="48"/>
  <c r="F239" i="48"/>
  <c r="F117" i="48"/>
  <c r="F300" i="48"/>
  <c r="F178" i="48"/>
  <c r="F54" i="48"/>
  <c r="G303" i="48"/>
  <c r="G181" i="48"/>
  <c r="G57" i="48"/>
  <c r="G242" i="48"/>
  <c r="G120" i="48"/>
  <c r="F245" i="48"/>
  <c r="F123" i="48"/>
  <c r="F306" i="48"/>
  <c r="F184" i="48"/>
  <c r="F60" i="48"/>
  <c r="G248" i="48"/>
  <c r="G126" i="48"/>
  <c r="AD46" i="26"/>
  <c r="F251" i="48"/>
  <c r="F129" i="48"/>
  <c r="F312" i="48"/>
  <c r="F190" i="48"/>
  <c r="F66" i="48"/>
  <c r="G315" i="48"/>
  <c r="G193" i="48"/>
  <c r="G69" i="48"/>
  <c r="G254" i="48"/>
  <c r="G132" i="48"/>
  <c r="F257" i="48"/>
  <c r="F135" i="48"/>
  <c r="F318" i="48"/>
  <c r="F196" i="48"/>
  <c r="F72" i="48"/>
  <c r="G260" i="48"/>
  <c r="G138" i="48"/>
  <c r="AC41" i="27"/>
  <c r="F263" i="48"/>
  <c r="F141" i="48"/>
  <c r="F324" i="48"/>
  <c r="F202" i="48"/>
  <c r="F78" i="48"/>
  <c r="G327" i="48"/>
  <c r="G205" i="48"/>
  <c r="G81" i="48"/>
  <c r="G266" i="48"/>
  <c r="G144" i="48"/>
  <c r="D21" i="7"/>
  <c r="K8" i="13"/>
  <c r="S8" i="13" s="1"/>
  <c r="AD43" i="13"/>
  <c r="K8" i="15"/>
  <c r="S8" i="15" s="1"/>
  <c r="S7" i="15"/>
  <c r="AD43" i="17"/>
  <c r="S5" i="21"/>
  <c r="J6" i="21"/>
  <c r="J6" i="23"/>
  <c r="S5" i="23"/>
  <c r="AD46" i="29"/>
  <c r="G63" i="48"/>
  <c r="G129" i="48"/>
  <c r="G151" i="48"/>
  <c r="G199" i="48"/>
  <c r="G215" i="48"/>
  <c r="G263" i="48"/>
  <c r="G285" i="48"/>
  <c r="E4" i="62"/>
  <c r="C4" i="62" s="1"/>
  <c r="D4" i="7" s="1"/>
  <c r="I28" i="40"/>
  <c r="M12" i="35"/>
  <c r="I12" i="38"/>
  <c r="I12" i="37"/>
  <c r="I27" i="33"/>
  <c r="L20" i="64"/>
  <c r="S44" i="16"/>
  <c r="AD46" i="14"/>
  <c r="AD46" i="13"/>
  <c r="D22" i="7"/>
  <c r="S6" i="11"/>
  <c r="J7" i="12"/>
  <c r="J48" i="12"/>
  <c r="J48" i="13"/>
  <c r="S6" i="14"/>
  <c r="S43" i="14"/>
  <c r="AD43" i="16"/>
  <c r="K8" i="17"/>
  <c r="S8" i="17" s="1"/>
  <c r="I47" i="17"/>
  <c r="S5" i="27"/>
  <c r="S5" i="28"/>
  <c r="J6" i="28"/>
  <c r="S6" i="30"/>
  <c r="J46" i="30"/>
  <c r="S6" i="31"/>
  <c r="I9" i="39"/>
  <c r="H39" i="43"/>
  <c r="I38" i="43"/>
  <c r="L58" i="43"/>
  <c r="K58" i="43" s="1"/>
  <c r="H11" i="45"/>
  <c r="G27" i="48"/>
  <c r="G75" i="48"/>
  <c r="G93" i="48"/>
  <c r="G141" i="48"/>
  <c r="G163" i="48"/>
  <c r="G227" i="48"/>
  <c r="G297" i="48"/>
  <c r="AC41" i="23"/>
  <c r="K7" i="24"/>
  <c r="S7" i="24" s="1"/>
  <c r="S6" i="24"/>
  <c r="AG42" i="30"/>
  <c r="AG42" i="31"/>
  <c r="G39" i="48"/>
  <c r="G105" i="48"/>
  <c r="G175" i="48"/>
  <c r="F209" i="48"/>
  <c r="G239" i="48"/>
  <c r="G309" i="48"/>
  <c r="I26" i="40"/>
  <c r="M10" i="35"/>
  <c r="H14" i="34"/>
  <c r="I7" i="39"/>
  <c r="I9" i="50"/>
  <c r="H9" i="45"/>
  <c r="L22" i="64"/>
  <c r="F23" i="64" s="1"/>
  <c r="S46" i="16"/>
  <c r="AD43" i="18"/>
  <c r="AG49" i="19"/>
  <c r="S5" i="30"/>
  <c r="S5" i="31"/>
  <c r="H16" i="34"/>
  <c r="I36" i="43"/>
  <c r="H36" i="43" s="1"/>
  <c r="H15" i="43"/>
  <c r="H49" i="43"/>
  <c r="I48" i="43"/>
  <c r="H48" i="43" s="1"/>
  <c r="G2" i="48"/>
  <c r="G51" i="48"/>
  <c r="F87" i="48"/>
  <c r="G117" i="48"/>
  <c r="G187" i="48"/>
  <c r="G251" i="48"/>
  <c r="G273" i="48"/>
  <c r="G321" i="48"/>
  <c r="P58" i="43"/>
  <c r="H31" i="33"/>
  <c r="H137" i="33" s="1"/>
  <c r="K15" i="43"/>
  <c r="F10" i="55"/>
  <c r="F2" i="55"/>
  <c r="F10" i="54"/>
  <c r="F2" i="54"/>
  <c r="L36" i="43"/>
  <c r="K36" i="43" s="1"/>
  <c r="L10" i="54"/>
  <c r="R10" i="54" s="1"/>
  <c r="O36" i="43"/>
  <c r="K39" i="43"/>
  <c r="K49" i="43"/>
  <c r="U148" i="63"/>
  <c r="M148" i="63" s="1"/>
  <c r="E12" i="46" s="1"/>
  <c r="AA15" i="63"/>
  <c r="N15" i="63" s="1"/>
  <c r="I19" i="45" s="1"/>
  <c r="U14" i="63"/>
  <c r="M14" i="63" s="1"/>
  <c r="E18" i="45" s="1"/>
  <c r="J49" i="51"/>
  <c r="J50" i="51"/>
  <c r="J51" i="51"/>
  <c r="J52" i="51"/>
  <c r="E6" i="62"/>
  <c r="C6" i="62" s="1"/>
  <c r="E21" i="33" s="1"/>
  <c r="E29" i="62"/>
  <c r="C29" i="62" s="1"/>
  <c r="D5" i="49" s="1"/>
  <c r="AA13" i="63"/>
  <c r="N13" i="63" s="1"/>
  <c r="I17" i="45" s="1"/>
  <c r="G46" i="51"/>
  <c r="H51" i="51"/>
  <c r="E5" i="54"/>
  <c r="E5" i="55"/>
  <c r="E30" i="62"/>
  <c r="C30" i="62" s="1"/>
  <c r="D14" i="47" s="1"/>
  <c r="E32" i="62"/>
  <c r="C32" i="62" s="1"/>
  <c r="AA12" i="63"/>
  <c r="N12" i="63" s="1"/>
  <c r="I16" i="45" s="1"/>
  <c r="S48" i="12" l="1"/>
  <c r="K49" i="12"/>
  <c r="S49" i="12" s="1"/>
  <c r="K7" i="21"/>
  <c r="S7" i="21" s="1"/>
  <c r="S6" i="21"/>
  <c r="S45" i="22"/>
  <c r="K46" i="22"/>
  <c r="S46" i="22" s="1"/>
  <c r="S48" i="15"/>
  <c r="K49" i="15"/>
  <c r="S49" i="15" s="1"/>
  <c r="K46" i="21"/>
  <c r="S46" i="21" s="1"/>
  <c r="S45" i="21"/>
  <c r="J48" i="16"/>
  <c r="I47" i="16"/>
  <c r="H38" i="43"/>
  <c r="I58" i="43"/>
  <c r="H58" i="43" s="1"/>
  <c r="K47" i="30"/>
  <c r="S47" i="30" s="1"/>
  <c r="S46" i="30"/>
  <c r="K8" i="12"/>
  <c r="S8" i="12" s="1"/>
  <c r="S7" i="12"/>
  <c r="L56" i="19"/>
  <c r="U56" i="19" s="1"/>
  <c r="U55" i="19"/>
  <c r="S45" i="28"/>
  <c r="K46" i="28"/>
  <c r="S46" i="28" s="1"/>
  <c r="F5" i="44"/>
  <c r="F5" i="42"/>
  <c r="F5" i="41"/>
  <c r="F5" i="43"/>
  <c r="L23" i="64"/>
  <c r="G24" i="64"/>
  <c r="K46" i="27"/>
  <c r="S46" i="27" s="1"/>
  <c r="S45" i="27"/>
  <c r="S45" i="23"/>
  <c r="K46" i="23"/>
  <c r="S46" i="23" s="1"/>
  <c r="K49" i="11"/>
  <c r="S49" i="11" s="1"/>
  <c r="S48" i="11"/>
  <c r="S6" i="28"/>
  <c r="K7" i="28"/>
  <c r="S7" i="28" s="1"/>
  <c r="K49" i="13"/>
  <c r="S49" i="13" s="1"/>
  <c r="S48" i="13"/>
  <c r="K7" i="23"/>
  <c r="S7" i="23" s="1"/>
  <c r="S6" i="23"/>
  <c r="K47" i="31"/>
  <c r="S47" i="31" s="1"/>
  <c r="S46" i="31"/>
  <c r="D43" i="7"/>
  <c r="D44" i="7" s="1"/>
  <c r="D45" i="7" s="1"/>
  <c r="D40" i="7"/>
  <c r="D41" i="7"/>
  <c r="K46" i="24"/>
  <c r="S46" i="24" s="1"/>
  <c r="S45" i="24"/>
  <c r="L24" i="64" l="1"/>
  <c r="H25" i="64"/>
  <c r="L25" i="64" s="1"/>
  <c r="D51" i="7"/>
  <c r="D48" i="7"/>
  <c r="D47" i="7"/>
  <c r="D49" i="7"/>
  <c r="D46" i="7"/>
  <c r="S48" i="16"/>
  <c r="K49" i="16"/>
  <c r="S49" i="16" s="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<sst xmlns="http://schemas.openxmlformats.org/spreadsheetml/2006/main" count="13062" uniqueCount="3325">
  <si>
    <t xml:space="preserve"> (требуется обновление)</t>
  </si>
  <si>
    <t>Код отчёта: PP108.OPEN.INFO.BALANCE.VOTV.EIAS</t>
  </si>
  <si>
    <t>Версия отчёта: 1.1.3</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</si>
  <si>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</si>
  <si>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</si>
  <si>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</si>
  <si>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</si>
  <si>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</si>
  <si>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</si>
  <si>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</si>
  <si>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</si>
  <si>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</si>
  <si>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</si>
  <si>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26370678</t>
  </si>
  <si>
    <t>Flag_Row_Size</t>
  </si>
  <si>
    <t>Субъект РФ</t>
  </si>
  <si>
    <t>Республика Марий Эл</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</si>
  <si>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</si>
  <si>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</si>
  <si>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</si>
  <si>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</si>
  <si>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</si>
  <si>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</si>
  <si>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</si>
  <si>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</si>
  <si>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</si>
  <si>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</si>
  <si>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</si>
  <si>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</si>
  <si>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</si>
  <si>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</si>
  <si>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</si>
  <si>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</si>
  <si>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</si>
  <si>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</si>
  <si>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</si>
  <si>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</si>
  <si>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</si>
  <si>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</si>
  <si>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</si>
  <si>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</si>
  <si>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</si>
  <si>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</si>
  <si>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</si>
  <si>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</si>
  <si>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МУП "Водоканал"</t>
  </si>
  <si>
    <t>Наименование (описание) обособленного подразделения</t>
  </si>
  <si>
    <t>ИНН</t>
  </si>
  <si>
    <t>1215020390</t>
  </si>
  <si>
    <t>КПП</t>
  </si>
  <si>
    <t>121501001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</si>
  <si>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</si>
  <si>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</si>
  <si>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</si>
  <si>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</si>
  <si>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</si>
  <si>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</si>
  <si>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</si>
  <si>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</si>
  <si>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</si>
  <si>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</si>
  <si>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</si>
  <si>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</si>
  <si>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</si>
  <si>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</si>
  <si>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</si>
  <si>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по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</si>
  <si>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</si>
  <si>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</si>
  <si>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424039, Республика Марий Эл, г.Йошкар-Ола, ул.Дружбы 2</t>
  </si>
  <si>
    <t>Фамилия, имя, отчество руководителя</t>
  </si>
  <si>
    <t>Ерешкин Андрей Владимирович</t>
  </si>
  <si>
    <t>Ответственный за заполнение формы</t>
  </si>
  <si>
    <t>Фамилия, имя, отчество</t>
  </si>
  <si>
    <t>Средина Е.С., Исаев В.В.</t>
  </si>
  <si>
    <t>Должность</t>
  </si>
  <si>
    <t>начальник ПЭО, начальник ПТО</t>
  </si>
  <si>
    <t>Контактный телефон</t>
  </si>
  <si>
    <t>(8362) 41-79-01, (8362) 41-82-91</t>
  </si>
  <si>
    <t>E-mail</t>
  </si>
  <si>
    <t>peo@vod12.ru, pto12@inbox.ru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</si>
  <si>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</si>
  <si>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</si>
  <si>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</si>
  <si>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</si>
  <si>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</si>
  <si>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</si>
  <si>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</si>
  <si>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</si>
  <si>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</si>
  <si>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</si>
  <si>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</si>
  <si>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</si>
  <si>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</si>
  <si>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</si>
  <si>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</si>
  <si>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</si>
  <si>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</si>
  <si>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134</t>
  </si>
  <si>
    <t>г. Йошкар-Ола</t>
  </si>
  <si>
    <t>88701000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</si>
  <si>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</si>
  <si>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</si>
  <si>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</si>
  <si>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</si>
  <si>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</si>
  <si>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</si>
  <si>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</si>
  <si>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</si>
  <si>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</si>
  <si>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</si>
  <si>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</si>
  <si>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</si>
  <si>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</si>
  <si>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</si>
  <si>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</si>
  <si>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</si>
  <si>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4189714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</si>
  <si>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</si>
  <si>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</si>
  <si>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</si>
  <si>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</si>
  <si>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</si>
  <si>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</si>
  <si>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</si>
  <si>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</si>
  <si>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</si>
  <si>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</si>
  <si>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</si>
  <si>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</si>
  <si>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</si>
  <si>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</si>
  <si>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</si>
  <si>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</si>
  <si>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</si>
  <si>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</si>
  <si>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</si>
  <si>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</si>
  <si>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</si>
  <si>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</si>
  <si>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</si>
  <si>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</si>
  <si>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</si>
  <si>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</si>
  <si>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</si>
  <si>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</si>
  <si>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</si>
  <si>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</si>
  <si>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</si>
  <si>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</si>
  <si>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</si>
  <si>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</si>
  <si>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</si>
  <si>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</si>
  <si>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</si>
  <si>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</si>
  <si>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</si>
  <si>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</si>
  <si>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</si>
  <si>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</si>
  <si>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</si>
  <si>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</si>
  <si>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</si>
  <si>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</si>
  <si>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</si>
  <si>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</si>
  <si>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</si>
  <si>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</si>
  <si>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</si>
  <si>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</si>
  <si>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</si>
  <si>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</si>
  <si>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</si>
  <si>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</si>
  <si>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</si>
  <si>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</si>
  <si>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</si>
  <si>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</si>
  <si>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</si>
  <si>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</si>
  <si>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</si>
  <si>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</si>
  <si>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</si>
  <si>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</si>
  <si>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</si>
  <si>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</si>
  <si>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</si>
  <si>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</si>
  <si>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</si>
  <si>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</si>
  <si>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</si>
  <si>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</si>
  <si>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</si>
  <si>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</si>
  <si>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</si>
  <si>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</si>
  <si>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</si>
  <si>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</si>
  <si>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</si>
  <si>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</si>
  <si>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</si>
  <si>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</si>
  <si>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</si>
  <si>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</si>
  <si>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</si>
  <si>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</si>
  <si>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</si>
  <si>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</si>
  <si>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</si>
  <si>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</si>
  <si>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</si>
  <si>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</si>
  <si>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</si>
  <si>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</si>
  <si>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</si>
  <si>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</si>
  <si>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</si>
  <si>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</si>
  <si>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</si>
  <si>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</si>
  <si>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</si>
  <si>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</si>
  <si>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</si>
  <si>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</si>
  <si>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</si>
  <si>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</si>
  <si>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</si>
  <si>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</si>
  <si>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</si>
  <si>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</si>
  <si>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</si>
  <si>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</si>
  <si>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</si>
  <si>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</si>
  <si>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</si>
  <si>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</si>
  <si>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</si>
  <si>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</si>
  <si>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</si>
  <si>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</si>
  <si>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</si>
  <si>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</si>
  <si>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</si>
  <si>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</si>
  <si>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</si>
  <si>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</si>
  <si>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</si>
  <si>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</si>
  <si>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</si>
  <si>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</si>
  <si>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</si>
  <si>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</si>
  <si>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</si>
  <si>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</si>
  <si>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</si>
  <si>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</si>
  <si>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</si>
  <si>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</si>
  <si>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</si>
  <si>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</si>
  <si>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</si>
  <si>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</si>
  <si>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</si>
  <si>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</si>
  <si>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</si>
  <si>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</si>
  <si>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</si>
  <si>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</si>
  <si>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</si>
  <si>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</si>
  <si>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</si>
  <si>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</si>
  <si>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</si>
  <si>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</si>
  <si>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</si>
  <si>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</si>
  <si>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</si>
  <si>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</si>
  <si>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</si>
  <si>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</si>
  <si>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</si>
  <si>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</si>
  <si>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</si>
  <si>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</si>
  <si>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</si>
  <si>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</si>
  <si>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</si>
  <si>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</si>
  <si>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</si>
  <si>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</si>
  <si>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</si>
  <si>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</si>
  <si>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</si>
  <si>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</si>
  <si>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</si>
  <si>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</si>
  <si>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</si>
  <si>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</si>
  <si>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</si>
  <si>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</si>
  <si>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</si>
  <si>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</si>
  <si>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</si>
  <si>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</si>
  <si>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</si>
  <si>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</si>
  <si>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</si>
  <si>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</si>
  <si>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</si>
  <si>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</si>
  <si>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</si>
  <si>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</si>
  <si>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</si>
  <si>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</si>
  <si>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</si>
  <si>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</si>
  <si>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</si>
  <si>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</si>
  <si>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</si>
  <si>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</si>
  <si>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</si>
  <si>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</si>
  <si>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</si>
  <si>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</si>
  <si>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</si>
  <si>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</si>
  <si>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</si>
  <si>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</si>
  <si>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</si>
  <si>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</si>
  <si>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</si>
  <si>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</si>
  <si>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</si>
  <si>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</si>
  <si>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</si>
  <si>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</si>
  <si>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</si>
  <si>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</si>
  <si>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</si>
  <si>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</si>
  <si>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</si>
  <si>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</si>
  <si>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</si>
  <si>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</si>
  <si>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</si>
  <si>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</si>
  <si>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</si>
  <si>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</si>
  <si>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</si>
  <si>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</si>
  <si>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</si>
  <si>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</si>
  <si>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</si>
  <si>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</si>
  <si>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</si>
  <si>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</si>
  <si>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</si>
  <si>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</si>
  <si>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</si>
  <si>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</si>
  <si>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</si>
  <si>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</si>
  <si>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</si>
  <si>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</si>
  <si>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</si>
  <si>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</si>
  <si>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</si>
  <si>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</si>
  <si>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</si>
  <si>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</si>
  <si>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</si>
  <si>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</si>
  <si>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</si>
  <si>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</si>
  <si>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</si>
  <si>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</si>
  <si>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</si>
  <si>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</si>
  <si>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</si>
  <si>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</si>
  <si>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</si>
  <si>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</si>
  <si>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</si>
  <si>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</si>
  <si>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</si>
  <si>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</si>
  <si>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</si>
  <si>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</si>
  <si>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</si>
  <si>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</si>
  <si>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</si>
  <si>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</si>
  <si>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</si>
  <si>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</si>
  <si>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</si>
  <si>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</si>
  <si>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</si>
  <si>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</si>
  <si>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</si>
  <si>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</si>
  <si>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</si>
  <si>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</si>
  <si>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</si>
  <si>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</si>
  <si>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</si>
  <si>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</si>
  <si>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</si>
  <si>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</si>
  <si>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</si>
  <si>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</si>
  <si>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</si>
  <si>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</si>
  <si>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</si>
  <si>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</si>
  <si>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</si>
  <si>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</si>
  <si>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</si>
  <si>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</si>
  <si>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</si>
  <si>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</si>
  <si>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</si>
  <si>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</si>
  <si>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</si>
  <si>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</si>
  <si>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</si>
  <si>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</si>
  <si>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</si>
  <si>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</si>
  <si>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</si>
  <si>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</si>
  <si>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</si>
  <si>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</si>
  <si>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</si>
  <si>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</si>
  <si>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</si>
  <si>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</si>
  <si>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</si>
  <si>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</si>
  <si>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</si>
  <si>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</si>
  <si>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</si>
  <si>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</si>
  <si>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</si>
  <si>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</si>
  <si>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</si>
  <si>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</si>
  <si>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</si>
  <si>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</si>
  <si>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</si>
  <si>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</si>
  <si>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</si>
  <si>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</si>
  <si>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</si>
  <si>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</si>
  <si>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</si>
  <si>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</si>
  <si>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</si>
  <si>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</si>
  <si>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</si>
  <si>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</si>
  <si>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</si>
  <si>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</si>
  <si>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</si>
  <si>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</si>
  <si>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</si>
  <si>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</si>
  <si>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</si>
  <si>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</si>
  <si>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</si>
  <si>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</si>
  <si>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</si>
  <si>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</si>
  <si>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</si>
  <si>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</si>
  <si>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</si>
  <si>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</si>
  <si>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</si>
  <si>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</si>
  <si>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</si>
  <si>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</si>
  <si>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</si>
  <si>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</si>
  <si>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</si>
  <si>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</si>
  <si>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</si>
  <si>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</si>
  <si>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</si>
  <si>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</si>
  <si>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</si>
  <si>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</si>
  <si>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</si>
  <si>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</si>
  <si>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</si>
  <si>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</si>
  <si>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</si>
  <si>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</si>
  <si>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</si>
  <si>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</si>
  <si>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</si>
  <si>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</si>
  <si>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</si>
  <si>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</si>
  <si>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</si>
  <si>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</si>
  <si>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</si>
  <si>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</si>
  <si>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</si>
  <si>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</si>
  <si>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</si>
  <si>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</si>
  <si>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</si>
  <si>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</si>
  <si>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</si>
  <si>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</si>
  <si>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</si>
  <si>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</si>
  <si>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</si>
  <si>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</si>
  <si>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</si>
  <si>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</si>
  <si>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</si>
  <si>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</si>
  <si>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</si>
  <si>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</si>
  <si>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</si>
  <si>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</si>
  <si>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</si>
  <si>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</si>
  <si>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</si>
  <si>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</si>
  <si>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</si>
  <si>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</si>
  <si>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</si>
  <si>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</si>
  <si>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</si>
  <si>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</si>
  <si>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</si>
  <si>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</si>
  <si>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</si>
  <si>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</si>
  <si>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</si>
  <si>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</si>
  <si>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</si>
  <si>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</si>
  <si>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</si>
  <si>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</si>
  <si>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</si>
  <si>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</si>
  <si>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</si>
  <si>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</si>
  <si>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</si>
  <si>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</si>
  <si>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</si>
  <si>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</si>
  <si>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</si>
  <si>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</si>
  <si>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</si>
  <si>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</si>
  <si>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</si>
  <si>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</si>
  <si>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</si>
  <si>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</si>
  <si>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</si>
  <si>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</si>
  <si>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</si>
  <si>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</si>
  <si>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</si>
  <si>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</si>
  <si>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</si>
  <si>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</si>
  <si>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</si>
  <si>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</si>
  <si>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</si>
  <si>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</si>
  <si>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</si>
  <si>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t>
  </si>
  <si>
    <t>Прочие расходы, которые подлежат отнесению на регулируемые виды деятельности</t>
  </si>
  <si>
    <t>Добавить прочие расходы</t>
  </si>
  <si>
    <t>HEAT_P2</t>
  </si>
  <si>
    <t>NOT_HEAT_P2</t>
  </si>
  <si>
    <t>https://portal.eias.ru/Portal/DownloadPage.aspx?type=12&amp;guid=7583d110-453c-4be5-a32e-5e12a8c8a4df</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</si>
  <si>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</si>
  <si>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</si>
  <si>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</si>
  <si>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</si>
  <si>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</si>
  <si>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</si>
  <si>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</si>
  <si>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</si>
  <si>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</si>
  <si>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</si>
  <si>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</si>
  <si>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</si>
  <si>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</si>
  <si>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</si>
  <si>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</si>
  <si>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</si>
  <si>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</si>
  <si>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</si>
  <si>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</si>
  <si>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</si>
  <si>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</si>
  <si>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</si>
  <si>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</si>
  <si>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</si>
  <si>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</si>
  <si>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</si>
  <si>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</si>
  <si>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</si>
  <si>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</si>
  <si>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</si>
  <si>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</si>
  <si>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</si>
  <si>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</si>
  <si>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</si>
  <si>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</si>
  <si>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</si>
  <si>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</si>
  <si>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</si>
  <si>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</si>
  <si>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</si>
  <si>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</si>
  <si>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</si>
  <si>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</si>
  <si>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</si>
  <si>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</si>
  <si>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</si>
  <si>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</si>
  <si>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</si>
  <si>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</si>
  <si>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</si>
  <si>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</si>
  <si>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</si>
  <si>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</si>
  <si>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</si>
  <si>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</si>
  <si>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</si>
  <si>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</si>
  <si>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</si>
  <si>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</si>
  <si>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</si>
  <si>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</si>
  <si>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</si>
  <si>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</si>
  <si>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</si>
  <si>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</si>
  <si>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</si>
  <si>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</si>
  <si>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</si>
  <si>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</si>
  <si>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</si>
  <si>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</si>
  <si>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</si>
  <si>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</si>
  <si>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</si>
  <si>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</si>
  <si>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</si>
  <si>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</si>
  <si>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</si>
  <si>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</si>
  <si>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</si>
  <si>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</si>
  <si>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</si>
  <si>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</si>
  <si>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</si>
  <si>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</si>
  <si>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</si>
  <si>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</si>
  <si>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</si>
  <si>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</si>
  <si>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</si>
  <si>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</si>
  <si>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</si>
  <si>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</si>
  <si>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</si>
  <si>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</si>
  <si>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</si>
  <si>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</si>
  <si>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</si>
  <si>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</si>
  <si>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</si>
  <si>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</si>
  <si>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</si>
  <si>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</si>
  <si>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</si>
  <si>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</si>
  <si>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</si>
  <si>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</si>
  <si>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</si>
  <si>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</si>
  <si>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</si>
  <si>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</si>
  <si>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</si>
  <si>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</si>
  <si>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</si>
  <si>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</si>
  <si>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</si>
  <si>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</si>
  <si>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</si>
  <si>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</si>
  <si>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</si>
  <si>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</si>
  <si>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</si>
  <si>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</si>
  <si>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</si>
  <si>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</si>
  <si>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</si>
  <si>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</si>
  <si>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</si>
  <si>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</si>
  <si>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</si>
  <si>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</si>
  <si>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</si>
  <si>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</si>
  <si>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</si>
  <si>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</si>
  <si>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</si>
  <si>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</si>
  <si>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</si>
  <si>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</si>
  <si>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</si>
  <si>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</si>
  <si>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</si>
  <si>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</si>
  <si>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</si>
  <si>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</si>
  <si>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</si>
  <si>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</si>
  <si>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</si>
  <si>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</si>
  <si>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</si>
  <si>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</si>
  <si>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</si>
  <si>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</si>
  <si>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</si>
  <si>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</si>
  <si>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</si>
  <si>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</si>
  <si>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</si>
  <si>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</si>
  <si>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</si>
  <si>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</si>
  <si>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</si>
  <si>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</si>
  <si>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</si>
  <si>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</si>
  <si>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</si>
  <si>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</si>
  <si>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</si>
  <si>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</si>
  <si>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</si>
  <si>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</si>
  <si>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</si>
  <si>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</si>
  <si>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</si>
  <si>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</si>
  <si>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</si>
  <si>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</si>
  <si>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</si>
  <si>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</si>
  <si>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</si>
  <si>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</si>
  <si>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</si>
  <si>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</si>
  <si>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</si>
  <si>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</si>
  <si>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</si>
  <si>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</si>
  <si>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</si>
  <si>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</si>
  <si>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</si>
  <si>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</si>
  <si>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</si>
  <si>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</si>
  <si>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</si>
  <si>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</si>
  <si>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</si>
  <si>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</si>
  <si>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</si>
  <si>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</si>
  <si>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</si>
  <si>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</si>
  <si>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</si>
  <si>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</si>
  <si>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</si>
  <si>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</si>
  <si>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</si>
  <si>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</si>
  <si>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</si>
  <si>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</si>
  <si>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</si>
  <si>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</si>
  <si>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</si>
  <si>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</si>
  <si>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</si>
  <si>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</si>
  <si>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</si>
  <si>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</si>
  <si>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</si>
  <si>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</si>
  <si>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</si>
  <si>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</si>
  <si>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</si>
  <si>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</si>
  <si>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</si>
  <si>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</si>
  <si>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</si>
  <si>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</si>
  <si>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</si>
  <si>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</si>
  <si>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</si>
  <si>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</si>
  <si>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</si>
  <si>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</si>
  <si>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</si>
  <si>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</si>
  <si>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</si>
  <si>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</si>
  <si>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</si>
  <si>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</si>
  <si>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</si>
  <si>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</si>
  <si>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</si>
  <si>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</si>
  <si>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</si>
  <si>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</si>
  <si>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</si>
  <si>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</si>
  <si>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</si>
  <si>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</si>
  <si>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</si>
  <si>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</si>
  <si>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</si>
  <si>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</si>
  <si>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</si>
  <si>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</si>
  <si>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</si>
  <si>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</si>
  <si>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</si>
  <si>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</si>
  <si>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</si>
  <si>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</si>
  <si>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</si>
  <si>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</si>
  <si>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</si>
  <si>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</si>
  <si>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</si>
  <si>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</si>
  <si>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</si>
  <si>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</si>
  <si>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</si>
  <si>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</si>
  <si>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</si>
  <si>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</si>
  <si>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</si>
  <si>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</si>
  <si>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</si>
  <si>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</si>
  <si>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</si>
  <si>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</si>
  <si>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</si>
  <si>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</si>
  <si>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</si>
  <si>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</si>
  <si>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</si>
  <si>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</si>
  <si>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</si>
  <si>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</si>
  <si>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</si>
  <si>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</si>
  <si>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</si>
  <si>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</si>
  <si>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</si>
  <si>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</si>
  <si>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</si>
  <si>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</si>
  <si>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</si>
  <si>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</si>
  <si>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</si>
  <si>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</si>
  <si>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</si>
  <si>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</si>
  <si>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</si>
  <si>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</si>
  <si>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</si>
  <si>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</si>
  <si>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</si>
  <si>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</si>
  <si>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</si>
  <si>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</si>
  <si>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</si>
  <si>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</si>
  <si>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</si>
  <si>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</si>
  <si>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</si>
  <si>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</si>
  <si>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</si>
  <si>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</si>
  <si>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</si>
  <si>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</si>
  <si>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</si>
  <si>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</si>
  <si>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</si>
  <si>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</si>
  <si>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</si>
  <si>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</si>
  <si>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</si>
  <si>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</si>
  <si>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</si>
  <si>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</si>
  <si>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</si>
  <si>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</si>
  <si>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</si>
  <si>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</si>
  <si>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</si>
  <si>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</si>
  <si>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</si>
  <si>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</si>
  <si>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</si>
  <si>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</si>
  <si>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</si>
  <si>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</si>
  <si>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</si>
  <si>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</si>
  <si>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</si>
  <si>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</si>
  <si>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</si>
  <si>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</si>
  <si>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</si>
  <si>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</si>
  <si>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</si>
  <si>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</si>
  <si>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https://portal.eias.ru/Portal/DownloadPage.aspx?type=12&amp;guid=0ffce0a7-0b15-4d76-8fbd-7c1a873c0a68</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</si>
  <si>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</si>
  <si>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</si>
  <si>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https://portal.eias.ru/Portal/DownloadPage.aspx?type=12&amp;guid=d9418130-fff3-496f-8818-eaedec3b7097</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</si>
  <si>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</si>
  <si>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https://portal.eias.ru/Portal/DownloadPage.aspx?type=12&amp;guid=1f2adff0-e3f7-4370-b8af-e03b1e3301cb</t>
  </si>
  <si>
    <t>О показателях эффективности удаления загрязняющих веществ очистными сооружениями регулируемых организаций</t>
  </si>
  <si>
    <t>https://portal.eias.ru/Portal/DownloadPage.aspx?type=12&amp;guid=23a53916-3de3-4e69-91c6-d7951a0fab5c</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</si>
  <si>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</si>
  <si>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</si>
  <si>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</si>
  <si>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</si>
  <si>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</si>
  <si>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</si>
  <si>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</si>
  <si>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</si>
  <si>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</si>
  <si>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</si>
  <si>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</si>
  <si>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</si>
  <si>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</si>
  <si>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</si>
  <si>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</si>
  <si>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</si>
  <si>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</si>
  <si>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</si>
  <si>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</si>
  <si>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</si>
  <si>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</si>
  <si>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</si>
  <si>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</si>
  <si>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</si>
  <si>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</si>
  <si>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</si>
  <si>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</si>
  <si>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</si>
  <si>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</si>
  <si>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</si>
  <si>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</si>
  <si>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</si>
  <si>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</si>
  <si>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</si>
  <si>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</si>
  <si>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</si>
  <si>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</si>
  <si>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</si>
  <si>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</si>
  <si>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</si>
  <si>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</si>
  <si>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</si>
  <si>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</si>
  <si>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</si>
  <si>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</si>
  <si>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</si>
  <si>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</si>
  <si>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</si>
  <si>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</si>
  <si>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от 25.07.2019 МУП "Водоканал" в сфере водоснабжения и водоотведения по комплексному развитию централизованных систем холодного водоснабжения и водоотведения, на территории городского округа г. Йошкар-Ола на 2020-2024 годы</t>
  </si>
  <si>
    <t>снижение аварийности</t>
  </si>
  <si>
    <t>Министерство промышленности , экономического развития и торговли Республики Марий Эл</t>
  </si>
  <si>
    <t>Администрация городского округа "Город Йошкар-Ола"</t>
  </si>
  <si>
    <t>01.01.2020</t>
  </si>
  <si>
    <t>31.12.2024</t>
  </si>
  <si>
    <t>Об утверждении инвестиционной программы муниципального унитарного предприятия «Водоканал» г. Йошкар-Олы» муниципального образования «Город Йошкар-Ола» «Развитие систем водоснабжения и водоотведения на 2020 - 2024 годы»</t>
  </si>
  <si>
    <t>приказ</t>
  </si>
  <si>
    <t>171</t>
  </si>
  <si>
    <t>25.07.2019</t>
  </si>
  <si>
    <t>Об утверждении изменений инвестиционной программы</t>
  </si>
  <si>
    <t>ip_5</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</si>
  <si>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</si>
  <si>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</si>
  <si>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</si>
  <si>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</si>
  <si>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</si>
  <si>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</si>
  <si>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</si>
  <si>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</si>
  <si>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</si>
  <si>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</si>
  <si>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</si>
  <si>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</si>
  <si>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</si>
  <si>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</si>
  <si>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</si>
  <si>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</si>
  <si>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</si>
  <si>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</si>
  <si>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</si>
  <si>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</si>
  <si>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</si>
  <si>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</si>
  <si>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</si>
  <si>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</si>
  <si>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</si>
  <si>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</si>
  <si>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</si>
  <si>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</si>
  <si>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</si>
  <si>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</si>
  <si>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</si>
  <si>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VOTV_IP_EVENT_SUBGROUP_3_LIST</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</si>
  <si>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</si>
  <si>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реконструкция или модернизация существующих сетей водоотведения и очистки сточных вод</t>
  </si>
  <si>
    <t>Декабрь</t>
  </si>
  <si>
    <t>2020</t>
  </si>
  <si>
    <t>Август</t>
  </si>
  <si>
    <t xml:space="preserve">     Прочие амортизационные отчисления</t>
  </si>
  <si>
    <t xml:space="preserve">  Средства, полученные за счет платы за подключение (технологическое присоединение)</t>
  </si>
  <si>
    <t>Добавить источник финансирования</t>
  </si>
  <si>
    <t>Добавить объект инфраструктуры</t>
  </si>
  <si>
    <t>Добавить мероприятие</t>
  </si>
  <si>
    <t>2021</t>
  </si>
  <si>
    <t>2022</t>
  </si>
  <si>
    <t>Сентябрь</t>
  </si>
  <si>
    <t xml:space="preserve">  Федеральный бюджет</t>
  </si>
  <si>
    <t>2023</t>
  </si>
  <si>
    <t>2024</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</si>
  <si>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</si>
  <si>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</si>
  <si>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</si>
  <si>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</si>
  <si>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</si>
  <si>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</si>
  <si>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</si>
  <si>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</si>
  <si>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</si>
  <si>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</si>
  <si>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</si>
  <si>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</si>
  <si>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</si>
  <si>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</si>
  <si>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</si>
  <si>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</si>
  <si>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</si>
  <si>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</si>
  <si>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</si>
  <si>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</si>
  <si>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</si>
  <si>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</si>
  <si>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</si>
  <si>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</si>
  <si>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</si>
  <si>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</si>
  <si>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</si>
  <si>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</si>
  <si>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</si>
  <si>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</si>
  <si>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</si>
  <si>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</si>
  <si>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</si>
  <si>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</si>
  <si>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</si>
  <si>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</si>
  <si>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</si>
  <si>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</si>
  <si>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</si>
  <si>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</si>
  <si>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</si>
  <si>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</si>
  <si>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</si>
  <si>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</si>
  <si>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</si>
  <si>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</si>
  <si>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</si>
  <si>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</si>
  <si>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</si>
  <si>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</si>
  <si>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</si>
  <si>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</si>
  <si>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</si>
  <si>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</si>
  <si>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</si>
  <si>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</si>
  <si>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</si>
  <si>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</si>
  <si>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</si>
  <si>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</si>
  <si>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</si>
  <si>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</si>
  <si>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</si>
  <si>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</si>
  <si>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</si>
  <si>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</si>
  <si>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</si>
  <si>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</si>
  <si>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</si>
  <si>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</si>
  <si>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</si>
  <si>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</si>
  <si>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</si>
  <si>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</si>
  <si>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</si>
  <si>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</si>
  <si>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</si>
  <si>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</si>
  <si>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</si>
  <si>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</si>
  <si>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</si>
  <si>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</si>
  <si>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</si>
  <si>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</si>
  <si>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</si>
  <si>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</si>
  <si>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</si>
  <si>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</si>
  <si>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</si>
  <si>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</si>
  <si>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</si>
  <si>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</si>
  <si>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</si>
  <si>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</si>
  <si>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</si>
  <si>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</si>
  <si>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</si>
  <si>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</si>
  <si>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</si>
  <si>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</si>
  <si>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в целом на инвестиционную программу</t>
  </si>
  <si>
    <t>Согласно данных лаборатории сточных вод и электротехнической лаборатории</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</si>
  <si>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</si>
  <si>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</si>
  <si>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</si>
  <si>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</si>
  <si>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</si>
  <si>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</si>
  <si>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</si>
  <si>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</si>
  <si>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</si>
  <si>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</si>
  <si>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</si>
  <si>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</si>
  <si>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</si>
  <si>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</si>
  <si>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</si>
  <si>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</si>
  <si>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</si>
  <si>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</si>
  <si>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</si>
  <si>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</si>
  <si>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</si>
  <si>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</si>
  <si>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</si>
  <si>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</si>
  <si>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</si>
  <si>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</si>
  <si>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</si>
  <si>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</si>
  <si>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</si>
  <si>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</si>
  <si>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</si>
  <si>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</si>
  <si>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</si>
  <si>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</si>
  <si>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</si>
  <si>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</si>
  <si>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</si>
  <si>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</si>
  <si>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</si>
  <si>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</si>
  <si>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</si>
  <si>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</si>
  <si>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</si>
  <si>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</si>
  <si>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</si>
  <si>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</si>
  <si>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</si>
  <si>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</si>
  <si>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</si>
  <si>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</si>
  <si>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</si>
  <si>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</si>
  <si>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</si>
  <si>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</si>
  <si>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</si>
  <si>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</si>
  <si>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</si>
  <si>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</si>
  <si>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</si>
  <si>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</si>
  <si>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</si>
  <si>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</si>
  <si>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</si>
  <si>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</si>
  <si>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</si>
  <si>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</si>
  <si>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</si>
  <si>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</si>
  <si>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</si>
  <si>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</si>
  <si>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</si>
  <si>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</si>
  <si>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</si>
  <si>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</si>
  <si>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</si>
  <si>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</si>
  <si>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</si>
  <si>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</si>
  <si>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</si>
  <si>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</si>
  <si>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</si>
  <si>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</si>
  <si>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</si>
  <si>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</si>
  <si>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</si>
  <si>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</si>
  <si>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</si>
  <si>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</si>
  <si>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</si>
  <si>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</si>
  <si>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</si>
  <si>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</si>
  <si>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</si>
  <si>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</si>
  <si>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</si>
  <si>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</si>
  <si>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</si>
  <si>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</si>
  <si>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</si>
  <si>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</si>
  <si>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</si>
  <si>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</si>
  <si>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</si>
  <si>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</si>
  <si>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</si>
  <si>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</si>
  <si>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</si>
  <si>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</si>
  <si>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</si>
  <si>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</si>
  <si>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</si>
  <si>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</si>
  <si>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</si>
  <si>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</si>
  <si>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</si>
  <si>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</si>
  <si>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</si>
  <si>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</si>
  <si>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</si>
  <si>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</si>
  <si>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</si>
  <si>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</si>
  <si>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</si>
  <si>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</si>
  <si>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</si>
  <si>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</si>
  <si>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</si>
  <si>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</si>
  <si>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</si>
  <si>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</si>
  <si>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</si>
  <si>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</si>
  <si>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</si>
  <si>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</si>
  <si>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</si>
  <si>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</si>
  <si>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</si>
  <si>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</si>
  <si>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</si>
  <si>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</si>
  <si>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</si>
  <si>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</si>
  <si>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</si>
  <si>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</si>
  <si>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</si>
  <si>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</si>
  <si>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</si>
  <si>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</si>
  <si>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</si>
  <si>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</si>
  <si>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</si>
  <si>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</si>
  <si>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</si>
  <si>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</si>
  <si>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</si>
  <si>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</si>
  <si>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</si>
  <si>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</si>
  <si>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</si>
  <si>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</si>
  <si>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</si>
  <si>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</si>
  <si>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</si>
  <si>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</si>
  <si>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</si>
  <si>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</si>
  <si>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</si>
  <si>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</si>
  <si>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</si>
  <si>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</si>
  <si>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</si>
  <si>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</si>
  <si>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</si>
  <si>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</si>
  <si>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</si>
  <si>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</si>
  <si>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</si>
  <si>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</si>
  <si>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</si>
  <si>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</si>
  <si>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</si>
  <si>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</si>
  <si>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</si>
  <si>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</si>
  <si>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</si>
  <si>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</si>
  <si>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</si>
  <si>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</si>
  <si>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</si>
  <si>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</si>
  <si>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</si>
  <si>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</si>
  <si>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</si>
  <si>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</si>
  <si>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</si>
  <si>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</si>
  <si>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</si>
  <si>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</si>
  <si>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</si>
  <si>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</si>
  <si>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</si>
  <si>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</si>
  <si>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</si>
  <si>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</si>
  <si>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</si>
  <si>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</si>
  <si>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</si>
  <si>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</si>
  <si>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</si>
  <si>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</si>
  <si>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</si>
  <si>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</si>
  <si>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</si>
  <si>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</si>
  <si>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</si>
  <si>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</si>
  <si>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</si>
  <si>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</si>
  <si>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</si>
  <si>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</si>
  <si>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</si>
  <si>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</si>
  <si>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</si>
  <si>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</si>
  <si>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</si>
  <si>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</si>
  <si>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</si>
  <si>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</si>
  <si>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</si>
  <si>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</si>
  <si>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</si>
  <si>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</si>
  <si>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</si>
  <si>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</si>
  <si>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</si>
  <si>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</si>
  <si>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</si>
  <si>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</si>
  <si>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</si>
  <si>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</si>
  <si>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</si>
  <si>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</si>
  <si>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</si>
  <si>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</si>
  <si>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</si>
  <si>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</si>
  <si>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</si>
  <si>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</si>
  <si>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</si>
  <si>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</si>
  <si>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</si>
  <si>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</si>
  <si>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</si>
  <si>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</si>
  <si>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</si>
  <si>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</si>
  <si>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</si>
  <si>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</si>
  <si>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</si>
  <si>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</si>
  <si>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</si>
  <si>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</si>
  <si>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</si>
  <si>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</si>
  <si>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</si>
  <si>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</si>
  <si>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</si>
  <si>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</si>
  <si>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</si>
  <si>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</si>
  <si>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</si>
  <si>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</si>
  <si>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</si>
  <si>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</si>
  <si>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</si>
  <si>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</si>
  <si>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дизельное топливо</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</si>
  <si>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</si>
  <si>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</si>
  <si>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</si>
  <si>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</si>
  <si>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</si>
  <si>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</si>
  <si>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</si>
  <si>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</si>
  <si>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</si>
  <si>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</si>
  <si>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</si>
  <si>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</si>
  <si>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</si>
  <si>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</si>
  <si>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 xml:space="preserve">  За счет платы за технологическое присоединение</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</si>
  <si>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</si>
  <si>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</si>
  <si>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</si>
  <si>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</si>
  <si>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</si>
  <si>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</si>
  <si>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</si>
  <si>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</si>
  <si>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</si>
  <si>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</si>
  <si>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</si>
  <si>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</si>
  <si>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</si>
  <si>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</si>
  <si>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</si>
  <si>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</si>
  <si>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</si>
  <si>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</si>
  <si>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</si>
  <si>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</si>
  <si>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</si>
  <si>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</si>
  <si>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</si>
  <si>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</si>
  <si>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</si>
  <si>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</si>
  <si>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</si>
  <si>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</si>
  <si>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</si>
  <si>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</si>
  <si>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</si>
  <si>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</si>
  <si>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</si>
  <si>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</si>
  <si>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</si>
  <si>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</si>
  <si>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</si>
  <si>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</si>
  <si>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</si>
  <si>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</si>
  <si>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</si>
  <si>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</si>
  <si>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</si>
  <si>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</si>
  <si>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</si>
  <si>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</si>
  <si>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</si>
  <si>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</si>
  <si>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</si>
  <si>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</si>
  <si>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</si>
  <si>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</si>
  <si>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</si>
  <si>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</si>
  <si>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</si>
  <si>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</si>
  <si>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</si>
  <si>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</si>
  <si>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</si>
  <si>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</si>
  <si>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</si>
  <si>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</si>
  <si>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</si>
  <si>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</si>
  <si>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</si>
  <si>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</si>
  <si>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</si>
  <si>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</si>
  <si>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</si>
  <si>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</si>
  <si>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</si>
  <si>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</si>
  <si>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</si>
  <si>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</si>
  <si>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</si>
  <si>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</si>
  <si>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</si>
  <si>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</si>
  <si>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</si>
  <si>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</si>
  <si>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</si>
  <si>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</si>
  <si>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</si>
  <si>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</si>
  <si>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</si>
  <si>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</si>
  <si>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</si>
  <si>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</si>
  <si>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</si>
  <si>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</si>
  <si>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</si>
  <si>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</si>
  <si>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</si>
  <si>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</si>
  <si>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</si>
  <si>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</si>
  <si>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</si>
  <si>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</si>
  <si>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</si>
  <si>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</si>
  <si>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</si>
  <si>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</si>
  <si>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</si>
  <si>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</si>
  <si>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</si>
  <si>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</si>
  <si>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</si>
  <si>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</si>
  <si>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</si>
  <si>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</si>
  <si>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</si>
  <si>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</si>
  <si>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</si>
  <si>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</si>
  <si>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</si>
  <si>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</si>
  <si>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</si>
  <si>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</si>
  <si>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</si>
  <si>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</si>
  <si>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</si>
  <si>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</si>
  <si>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</si>
  <si>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</si>
  <si>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</si>
  <si>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</si>
  <si>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</si>
  <si>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</si>
  <si>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</si>
  <si>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</si>
  <si>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</si>
  <si>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</si>
  <si>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</si>
  <si>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</si>
  <si>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</si>
  <si>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</si>
  <si>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</si>
  <si>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</si>
  <si>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</si>
  <si>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</si>
  <si>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</si>
  <si>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</si>
  <si>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</si>
  <si>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</si>
  <si>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</si>
  <si>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</si>
  <si>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</si>
  <si>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</si>
  <si>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</si>
  <si>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</si>
  <si>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</si>
  <si>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</si>
  <si>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</si>
  <si>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</si>
  <si>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</si>
  <si>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</si>
  <si>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</si>
  <si>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</si>
  <si>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</si>
  <si>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</si>
  <si>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</si>
  <si>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</si>
  <si>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</si>
  <si>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</si>
  <si>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</si>
  <si>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</si>
  <si>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</si>
  <si>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</si>
  <si>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</si>
  <si>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</si>
  <si>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</si>
  <si>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</si>
  <si>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</si>
  <si>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</si>
  <si>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</si>
  <si>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</si>
  <si>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</si>
  <si>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</si>
  <si>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</si>
  <si>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</si>
  <si>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</si>
  <si>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</si>
  <si>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</si>
  <si>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</si>
  <si>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</si>
  <si>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</si>
  <si>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</si>
  <si>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</si>
  <si>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</si>
  <si>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</si>
  <si>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</si>
  <si>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</si>
  <si>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</si>
  <si>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</si>
  <si>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</si>
  <si>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</si>
  <si>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</si>
  <si>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</si>
  <si>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</si>
  <si>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</si>
  <si>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</si>
  <si>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</si>
  <si>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</si>
  <si>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</si>
  <si>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</si>
  <si>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</si>
  <si>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</si>
  <si>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</si>
  <si>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</si>
  <si>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</si>
  <si>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</si>
  <si>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</si>
  <si>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</si>
  <si>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</si>
  <si>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</si>
  <si>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</si>
  <si>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</si>
  <si>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</si>
  <si>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</si>
  <si>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</si>
  <si>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</si>
  <si>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</si>
  <si>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</si>
  <si>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</si>
  <si>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</si>
  <si>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</si>
  <si>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</si>
  <si>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</si>
  <si>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</si>
  <si>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</si>
  <si>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</si>
  <si>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</si>
  <si>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</si>
  <si>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</si>
  <si>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</si>
  <si>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</si>
  <si>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</si>
  <si>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</si>
  <si>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</si>
  <si>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</si>
  <si>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</si>
  <si>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</si>
  <si>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</si>
  <si>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</si>
  <si>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</si>
  <si>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</si>
  <si>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</si>
  <si>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</si>
  <si>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</si>
  <si>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</si>
  <si>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</si>
  <si>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</si>
  <si>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</si>
  <si>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</si>
  <si>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</si>
  <si>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</si>
  <si>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</si>
  <si>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</si>
  <si>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</si>
  <si>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</si>
  <si>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</si>
  <si>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</si>
  <si>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</si>
  <si>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</si>
  <si>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</si>
  <si>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</si>
  <si>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</si>
  <si>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</si>
  <si>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</si>
  <si>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</si>
  <si>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</si>
  <si>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</si>
  <si>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</si>
  <si>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</si>
  <si>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</si>
  <si>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</si>
  <si>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</si>
  <si>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</si>
  <si>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</si>
  <si>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</si>
  <si>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</si>
  <si>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</si>
  <si>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</si>
  <si>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</si>
  <si>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</si>
  <si>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</si>
  <si>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</si>
  <si>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</si>
  <si>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</si>
  <si>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</si>
  <si>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</si>
  <si>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</si>
  <si>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</si>
  <si>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</si>
  <si>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</si>
  <si>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</si>
  <si>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</si>
  <si>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</si>
  <si>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</si>
  <si>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</si>
  <si>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</si>
  <si>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</si>
  <si>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</si>
  <si>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</si>
  <si>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</si>
  <si>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</si>
  <si>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</si>
  <si>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</si>
  <si>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</si>
  <si>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</si>
  <si>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</si>
  <si>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</si>
  <si>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</si>
  <si>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</si>
  <si>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</si>
  <si>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</si>
  <si>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</si>
  <si>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</si>
  <si>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</si>
  <si>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</si>
  <si>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</si>
  <si>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</si>
  <si>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</si>
  <si>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</si>
  <si>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</si>
  <si>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</si>
  <si>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</si>
  <si>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</si>
  <si>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</si>
  <si>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</si>
  <si>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</si>
  <si>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</si>
  <si>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</si>
  <si>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</si>
  <si>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</si>
  <si>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</si>
  <si>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</si>
  <si>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</si>
  <si>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</si>
  <si>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</si>
  <si>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</si>
  <si>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</si>
  <si>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</si>
  <si>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</si>
  <si>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</si>
  <si>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</si>
  <si>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</si>
  <si>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</si>
  <si>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</si>
  <si>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</si>
  <si>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</si>
  <si>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</si>
  <si>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</si>
  <si>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</si>
  <si>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</si>
  <si>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</si>
  <si>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</si>
  <si>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</si>
  <si>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</si>
  <si>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</si>
  <si>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</si>
  <si>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</si>
  <si>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</si>
  <si>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</si>
  <si>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</si>
  <si>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</si>
  <si>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</si>
  <si>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</si>
  <si>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</si>
  <si>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</si>
  <si>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</si>
  <si>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</si>
  <si>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</si>
  <si>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</si>
  <si>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</si>
  <si>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</si>
  <si>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</si>
  <si>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</si>
  <si>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</si>
  <si>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</si>
  <si>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</si>
  <si>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</si>
  <si>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</si>
  <si>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</si>
  <si>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</si>
  <si>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</si>
  <si>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</si>
  <si>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</si>
  <si>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</si>
  <si>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</si>
  <si>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</si>
  <si>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</si>
  <si>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</si>
  <si>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</si>
  <si>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</si>
  <si>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</si>
  <si>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</si>
  <si>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</si>
  <si>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</si>
  <si>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</si>
  <si>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</si>
  <si>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</si>
  <si>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</si>
  <si>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</si>
  <si>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</si>
  <si>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</si>
  <si>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</si>
  <si>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</si>
  <si>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</si>
  <si>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</si>
  <si>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</si>
  <si>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</si>
  <si>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</si>
  <si>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</si>
  <si>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</si>
  <si>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</si>
  <si>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</si>
  <si>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</si>
  <si>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</si>
  <si>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</si>
  <si>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</si>
  <si>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</si>
  <si>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</si>
  <si>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</si>
  <si>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</si>
  <si>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</si>
  <si>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</si>
  <si>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</si>
  <si>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</si>
  <si>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</si>
  <si>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</si>
  <si>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</si>
  <si>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</si>
  <si>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</si>
  <si>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</si>
  <si>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</si>
  <si>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</si>
  <si>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</si>
  <si>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</si>
  <si>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</si>
  <si>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</si>
  <si>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</si>
  <si>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</si>
  <si>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</si>
  <si>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</si>
  <si>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</si>
  <si>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</si>
  <si>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</si>
  <si>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</si>
  <si>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</si>
  <si>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</si>
  <si>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</si>
  <si>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</si>
  <si>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</si>
  <si>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</si>
  <si>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</si>
  <si>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</si>
  <si>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</si>
  <si>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</si>
  <si>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</si>
  <si>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</si>
  <si>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</si>
  <si>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</si>
  <si>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</si>
  <si>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</si>
  <si>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</si>
  <si>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</si>
  <si>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</si>
  <si>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</si>
  <si>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</si>
  <si>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</si>
  <si>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</si>
  <si>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</si>
  <si>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</si>
  <si>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</si>
  <si>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</si>
  <si>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</si>
  <si>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</si>
  <si>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</si>
  <si>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</si>
  <si>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</si>
  <si>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</si>
  <si>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ИП Детализация, 2021г - мероприятия проводились, но ввода в эксплуатацию не было, указали декабрь 2021, т.к. программа не пропускает незаполненные ячейки.</t>
  </si>
  <si>
    <t>ИП Детализация, 2023г - введено в эксплуатацию три мероприятия, 29.09.2023, 31.10.2023, 30.12.2023. Ячейка не дает ввести три значения, поэтому указан последний месяц ввода в эксплуатацию.</t>
  </si>
  <si>
    <t>ИП Детализация, столбец "Фактический размер финансирования" - указала 0, т.к. фактическая сумма затрат определится к концу 2024 года</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</si>
  <si>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</si>
  <si>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</si>
  <si>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</si>
  <si>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</si>
  <si>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</si>
  <si>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</si>
  <si>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</si>
  <si>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</si>
  <si>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</si>
  <si>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</si>
  <si>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</si>
  <si>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</si>
  <si>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</si>
  <si>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</si>
  <si>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</si>
  <si>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</si>
  <si>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</si>
  <si>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</si>
  <si>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</si>
  <si>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</si>
  <si>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</si>
  <si>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</si>
  <si>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</si>
  <si>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</si>
  <si>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</si>
  <si>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</si>
  <si>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</si>
  <si>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</si>
  <si>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</si>
  <si>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</si>
  <si>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</si>
  <si>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</si>
  <si>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</si>
  <si>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</si>
  <si>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</si>
  <si>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</si>
  <si>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</si>
  <si>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</si>
  <si>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</si>
  <si>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</si>
  <si>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</si>
  <si>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</si>
  <si>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</si>
  <si>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</si>
  <si>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</si>
  <si>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</si>
  <si>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</si>
  <si>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</si>
  <si>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</si>
  <si>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</si>
  <si>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</si>
  <si>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</si>
  <si>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</si>
  <si>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</si>
  <si>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</si>
  <si>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</si>
  <si>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</si>
  <si>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</si>
  <si>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</si>
  <si>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</si>
  <si>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</si>
  <si>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</si>
  <si>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</si>
  <si>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</si>
  <si>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</si>
  <si>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</si>
  <si>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</si>
  <si>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</si>
  <si>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</si>
  <si>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</si>
  <si>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</si>
  <si>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</si>
  <si>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</si>
  <si>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</si>
  <si>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</si>
  <si>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</si>
  <si>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</si>
  <si>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</si>
  <si>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</si>
  <si>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</si>
  <si>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</si>
  <si>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</si>
  <si>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</si>
  <si>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</si>
  <si>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</si>
  <si>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</si>
  <si>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</si>
  <si>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</si>
  <si>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</si>
  <si>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</si>
  <si>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</si>
  <si>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</si>
  <si>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</si>
  <si>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</si>
  <si>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</si>
  <si>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</si>
  <si>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</si>
  <si>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</si>
  <si>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</si>
  <si>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</si>
  <si>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</si>
  <si>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</si>
  <si>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</si>
  <si>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</si>
  <si>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</si>
  <si>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</si>
  <si>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</si>
  <si>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</si>
  <si>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</si>
  <si>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</si>
  <si>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</si>
  <si>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</si>
  <si>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</si>
  <si>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</si>
  <si>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</si>
  <si>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</si>
  <si>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</si>
  <si>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</si>
  <si>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</si>
  <si>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</si>
  <si>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</si>
  <si>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</si>
  <si>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</si>
  <si>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</si>
  <si>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</si>
  <si>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</si>
  <si>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</si>
  <si>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</si>
  <si>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</si>
  <si>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</si>
  <si>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</si>
  <si>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</si>
  <si>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</si>
  <si>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</si>
  <si>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</si>
  <si>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</si>
  <si>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</si>
  <si>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</si>
  <si>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</si>
  <si>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</si>
  <si>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</si>
  <si>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</si>
  <si>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</si>
  <si>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</si>
  <si>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</si>
  <si>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</si>
  <si>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</si>
  <si>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</si>
  <si>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</si>
  <si>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</si>
  <si>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</si>
  <si>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</si>
  <si>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</si>
  <si>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</si>
  <si>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</si>
  <si>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</si>
  <si>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</si>
  <si>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</si>
  <si>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</si>
  <si>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</si>
  <si>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</si>
  <si>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</si>
  <si>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</si>
  <si>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</si>
  <si>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</si>
  <si>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</si>
  <si>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</si>
  <si>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</si>
  <si>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</si>
  <si>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</si>
  <si>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</si>
  <si>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</si>
  <si>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</si>
  <si>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</si>
  <si>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</si>
  <si>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</si>
  <si>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</si>
  <si>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</si>
  <si>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</si>
  <si>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</si>
  <si>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</si>
  <si>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</si>
  <si>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</si>
  <si>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</si>
  <si>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</si>
  <si>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</si>
  <si>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</si>
  <si>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</si>
  <si>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</si>
  <si>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</si>
  <si>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</si>
  <si>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</si>
  <si>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</si>
  <si>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</si>
  <si>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</si>
  <si>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</si>
  <si>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</si>
  <si>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</si>
  <si>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</si>
  <si>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</si>
  <si>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</si>
  <si>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</si>
  <si>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</si>
  <si>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</si>
  <si>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</si>
  <si>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</si>
  <si>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</si>
  <si>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</si>
  <si>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</si>
  <si>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</si>
  <si>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</si>
  <si>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</si>
  <si>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</si>
  <si>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</si>
  <si>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</si>
  <si>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</si>
  <si>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</si>
  <si>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</si>
  <si>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</si>
  <si>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</si>
  <si>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</si>
  <si>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</si>
  <si>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</si>
  <si>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</si>
  <si>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</si>
  <si>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</si>
  <si>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</si>
  <si>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</si>
  <si>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</si>
  <si>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</si>
  <si>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</si>
  <si>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</si>
  <si>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</si>
  <si>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</si>
  <si>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</si>
  <si>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</si>
  <si>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</si>
  <si>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</si>
  <si>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</si>
  <si>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</si>
  <si>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</si>
  <si>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</si>
  <si>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</si>
  <si>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</si>
  <si>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</si>
  <si>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</si>
  <si>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</si>
  <si>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</si>
  <si>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</si>
  <si>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</si>
  <si>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</si>
  <si>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</si>
  <si>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</si>
  <si>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</si>
  <si>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</si>
  <si>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</si>
  <si>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</si>
  <si>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</si>
  <si>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</si>
  <si>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</si>
  <si>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</si>
  <si>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</si>
  <si>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</si>
  <si>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</si>
  <si>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</si>
  <si>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</si>
  <si>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</si>
  <si>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</si>
  <si>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</si>
  <si>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</si>
  <si>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</si>
  <si>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</si>
  <si>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</si>
  <si>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</si>
  <si>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</si>
  <si>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</si>
  <si>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</si>
  <si>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</si>
  <si>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</si>
  <si>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</si>
  <si>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</si>
  <si>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</si>
  <si>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</si>
  <si>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</si>
  <si>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</si>
  <si>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</si>
  <si>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</si>
  <si>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</si>
  <si>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</si>
  <si>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</si>
  <si>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</si>
  <si>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</si>
  <si>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</si>
  <si>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</si>
  <si>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</si>
  <si>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</si>
  <si>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</si>
  <si>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</si>
  <si>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</si>
  <si>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</si>
  <si>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</si>
  <si>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</si>
  <si>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</si>
  <si>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</si>
  <si>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</si>
  <si>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</si>
  <si>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</si>
  <si>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</si>
  <si>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</si>
  <si>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</si>
  <si>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</si>
  <si>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</si>
  <si>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</si>
  <si>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</si>
  <si>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</si>
  <si>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</si>
  <si>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</si>
  <si>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</si>
  <si>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</si>
  <si>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</si>
  <si>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</si>
  <si>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</si>
  <si>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</si>
  <si>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</si>
  <si>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</si>
  <si>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</si>
  <si>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</si>
  <si>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</si>
  <si>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</si>
  <si>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</si>
  <si>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</si>
  <si>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</si>
  <si>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</si>
  <si>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</si>
  <si>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</si>
  <si>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</si>
  <si>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</si>
  <si>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</si>
  <si>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</si>
  <si>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</si>
  <si>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</si>
  <si>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</si>
  <si>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2629</t>
  </si>
  <si>
    <t>30791606</t>
  </si>
  <si>
    <t>АО "ГУ ЖКХ"</t>
  </si>
  <si>
    <t>5116000922</t>
  </si>
  <si>
    <t>166045001</t>
  </si>
  <si>
    <t>30335229</t>
  </si>
  <si>
    <t>770401001</t>
  </si>
  <si>
    <t>27681548</t>
  </si>
  <si>
    <t>АО "Деревообрабатывающий завод"</t>
  </si>
  <si>
    <t>1215013266</t>
  </si>
  <si>
    <t>26354131</t>
  </si>
  <si>
    <t>АО "Марийский машиностроительный завод" п. Луговой</t>
  </si>
  <si>
    <t>1200001885</t>
  </si>
  <si>
    <t>121550001</t>
  </si>
  <si>
    <t>31734034</t>
  </si>
  <si>
    <t>ГАУ РМЭ "Санаторий "Сосновый бор"</t>
  </si>
  <si>
    <t>1200012950</t>
  </si>
  <si>
    <t>120001001</t>
  </si>
  <si>
    <t>12-12-2023 00:00:00</t>
  </si>
  <si>
    <t>26608465</t>
  </si>
  <si>
    <t>ГУП РМЭ "Лечебно-оздоровительный комплекс "Лесная сказка"</t>
  </si>
  <si>
    <t>1215042186</t>
  </si>
  <si>
    <t>18-01-2023 00:00:00</t>
  </si>
  <si>
    <t>28053908</t>
  </si>
  <si>
    <t>ГУП РМЭ "Оздоровительный комплекс Шап"</t>
  </si>
  <si>
    <t>1207010230</t>
  </si>
  <si>
    <t>120701001</t>
  </si>
  <si>
    <t>26354137</t>
  </si>
  <si>
    <t>ГУП РМЭ "Санаторий "Сосновый бор"</t>
  </si>
  <si>
    <t>1215021563</t>
  </si>
  <si>
    <t>26-08-1998 00:00:00</t>
  </si>
  <si>
    <t>МИНИСТЕРСТВО ПРОМЫШЛЕННОСТИ, ЭКОНОМИЧЕСКОГО РАЗВИТИЯ И ТОРГОВЛИ РЕСПУБЛИКИ МАРИЙ ЭЛ</t>
  </si>
  <si>
    <t>1215107796</t>
  </si>
  <si>
    <t>26354111</t>
  </si>
  <si>
    <t>МКП "Тепловые сети" Волжского муниципального района</t>
  </si>
  <si>
    <t>1201004423</t>
  </si>
  <si>
    <t>120101001</t>
  </si>
  <si>
    <t>06-02-2006 00:00:00</t>
  </si>
  <si>
    <t>31196260</t>
  </si>
  <si>
    <t>МКУП городского поселения Советский "Спектр"</t>
  </si>
  <si>
    <t>1213005291</t>
  </si>
  <si>
    <t>121301001</t>
  </si>
  <si>
    <t>26429817</t>
  </si>
  <si>
    <t>МП "Куженерводоканал"</t>
  </si>
  <si>
    <t>1205003413</t>
  </si>
  <si>
    <t>120501001</t>
  </si>
  <si>
    <t>06-10-2005 00:00:00</t>
  </si>
  <si>
    <t>26354135</t>
  </si>
  <si>
    <t>МП "Троллейбусный транспорт"</t>
  </si>
  <si>
    <t>1215015760</t>
  </si>
  <si>
    <t>21-06-2003 00:00:00</t>
  </si>
  <si>
    <t>31237473</t>
  </si>
  <si>
    <t>МУП "Горномарийский"</t>
  </si>
  <si>
    <t>1223000574</t>
  </si>
  <si>
    <t>122301001</t>
  </si>
  <si>
    <t>16-10-2018 00:00:00</t>
  </si>
  <si>
    <t>26354133</t>
  </si>
  <si>
    <t>МУП "Йошкар-Олинская ТЭЦ-1"</t>
  </si>
  <si>
    <t>1215011170</t>
  </si>
  <si>
    <t>02-05-2006 00:00:00</t>
  </si>
  <si>
    <t>01-02-2024 00:00:00</t>
  </si>
  <si>
    <t>26354125</t>
  </si>
  <si>
    <t>МУП "Оршанский жилкомсервис"</t>
  </si>
  <si>
    <t>1210003546</t>
  </si>
  <si>
    <t>121001001</t>
  </si>
  <si>
    <t>19-10-2006 00:00:00</t>
  </si>
  <si>
    <t>28966531</t>
  </si>
  <si>
    <t>МУП "ТеплоВодоканал" Килемарского муниципального района</t>
  </si>
  <si>
    <t>1204000106</t>
  </si>
  <si>
    <t>120401001</t>
  </si>
  <si>
    <t>26370675</t>
  </si>
  <si>
    <t>МУПКХ МО "Юринский район"</t>
  </si>
  <si>
    <t>1214000024</t>
  </si>
  <si>
    <t>121401001</t>
  </si>
  <si>
    <t>03-07-2003 00:00:00</t>
  </si>
  <si>
    <t>08-02-2024 00:00:00</t>
  </si>
  <si>
    <t>26354129</t>
  </si>
  <si>
    <t>ОАО "Марбиофарм"</t>
  </si>
  <si>
    <t>1215001662</t>
  </si>
  <si>
    <t>15-12-2002 00:00:00</t>
  </si>
  <si>
    <t>26354118</t>
  </si>
  <si>
    <t>ОАО "Марий Эл Дорстрой" Медведевский филиал</t>
  </si>
  <si>
    <t>1215154154</t>
  </si>
  <si>
    <t>04-09-1996 00:00:00</t>
  </si>
  <si>
    <t>26354106</t>
  </si>
  <si>
    <t>ОАО "Марийскавтодор"</t>
  </si>
  <si>
    <t>1215147005</t>
  </si>
  <si>
    <t>26416439</t>
  </si>
  <si>
    <t>ОАО "Марийский ЦБК"</t>
  </si>
  <si>
    <t>1216010765</t>
  </si>
  <si>
    <t>121601001</t>
  </si>
  <si>
    <t>09-10-2002 00:00:00</t>
  </si>
  <si>
    <t>26354136</t>
  </si>
  <si>
    <t>ОАО "Стройкерамика"</t>
  </si>
  <si>
    <t>1215017479</t>
  </si>
  <si>
    <t>27-06-2002 00:00:00</t>
  </si>
  <si>
    <t>28426349</t>
  </si>
  <si>
    <t>ООО "Автотест"</t>
  </si>
  <si>
    <t>1215108574</t>
  </si>
  <si>
    <t>28873113</t>
  </si>
  <si>
    <t>ООО "Атекс"</t>
  </si>
  <si>
    <t>1208007342</t>
  </si>
  <si>
    <t>120801001</t>
  </si>
  <si>
    <t>26370664</t>
  </si>
  <si>
    <t>ООО "ВодоканалCервис"</t>
  </si>
  <si>
    <t>1213005220</t>
  </si>
  <si>
    <t>15-10-2008 00:00:00</t>
  </si>
  <si>
    <t>31043736</t>
  </si>
  <si>
    <t>ООО "Газэнергосистемы"</t>
  </si>
  <si>
    <t>1215093952</t>
  </si>
  <si>
    <t>18-03-2004 00:00:00</t>
  </si>
  <si>
    <t>30385291</t>
  </si>
  <si>
    <t>ООО "ЖилКом-Сервис"</t>
  </si>
  <si>
    <t>1211004870</t>
  </si>
  <si>
    <t>121101001</t>
  </si>
  <si>
    <t>26433648</t>
  </si>
  <si>
    <t>ООО "Жилищный сервис"</t>
  </si>
  <si>
    <t>1206004441</t>
  </si>
  <si>
    <t>120601001</t>
  </si>
  <si>
    <t>08-12-2005 00:00:00</t>
  </si>
  <si>
    <t>27900079</t>
  </si>
  <si>
    <t>ООО "МТсК"</t>
  </si>
  <si>
    <t>1215165477</t>
  </si>
  <si>
    <t>19-07-2012 00:00:00</t>
  </si>
  <si>
    <t>26354151</t>
  </si>
  <si>
    <t>ООО "Марикоммунэнерго"</t>
  </si>
  <si>
    <t>1215126037</t>
  </si>
  <si>
    <t>09-11-2007 00:00:00</t>
  </si>
  <si>
    <t>26653859</t>
  </si>
  <si>
    <t>ООО "Моркинский ТеплоЭнергоСервис"</t>
  </si>
  <si>
    <t>1208007399</t>
  </si>
  <si>
    <t>28040479</t>
  </si>
  <si>
    <t>ООО "Ресурс"</t>
  </si>
  <si>
    <t>1207014851</t>
  </si>
  <si>
    <t>30811204</t>
  </si>
  <si>
    <t>ООО "Ресурс-1"</t>
  </si>
  <si>
    <t>1207021231</t>
  </si>
  <si>
    <t>26516262</t>
  </si>
  <si>
    <t>ООО "Сантехремонт"</t>
  </si>
  <si>
    <t>1209005281</t>
  </si>
  <si>
    <t>120901001</t>
  </si>
  <si>
    <t>02-02-2009 00:00:00</t>
  </si>
  <si>
    <t>26354145</t>
  </si>
  <si>
    <t>ООО "Стройтерм"</t>
  </si>
  <si>
    <t>1215065970</t>
  </si>
  <si>
    <t>31210441</t>
  </si>
  <si>
    <t>ООО "ТеплоЭнерго"</t>
  </si>
  <si>
    <t>1218001484</t>
  </si>
  <si>
    <t>121801001</t>
  </si>
  <si>
    <t>06-12-2017 00:00:00</t>
  </si>
  <si>
    <t>28465093</t>
  </si>
  <si>
    <t>ООО Домоуправление-11</t>
  </si>
  <si>
    <t>1215131654</t>
  </si>
  <si>
    <t>26653830</t>
  </si>
  <si>
    <t>ООО Завод СтройМатериалов "ВнешЭкономИнвест"</t>
  </si>
  <si>
    <t>1217005084</t>
  </si>
  <si>
    <t>121701001</t>
  </si>
  <si>
    <t>27261818</t>
  </si>
  <si>
    <t>ООО МУК "Жилкомсервис"</t>
  </si>
  <si>
    <t>1202004240</t>
  </si>
  <si>
    <t>30923106</t>
  </si>
  <si>
    <t>ООО НПФ "Энергетик"</t>
  </si>
  <si>
    <t>1215099986</t>
  </si>
  <si>
    <t>28-01-2005 00:00:00</t>
  </si>
  <si>
    <t>27264808</t>
  </si>
  <si>
    <t>ООО ПСО "Стройтепломонтаж"</t>
  </si>
  <si>
    <t>1207004388</t>
  </si>
  <si>
    <t>21-04-1997 00:00:00</t>
  </si>
  <si>
    <t>30436694</t>
  </si>
  <si>
    <t>ООО Хлебный дар</t>
  </si>
  <si>
    <t>1215130900</t>
  </si>
  <si>
    <t>31398008</t>
  </si>
  <si>
    <t>ООО фирма "Радан"</t>
  </si>
  <si>
    <t>1215006685</t>
  </si>
  <si>
    <t>28830489</t>
  </si>
  <si>
    <t>ПАО "Т плюс" Филиал « Марий Эл и Чувашии»</t>
  </si>
  <si>
    <t>6315376946</t>
  </si>
  <si>
    <t>213043001</t>
  </si>
  <si>
    <t>26354124</t>
  </si>
  <si>
    <t>ПК "Моркинская ПМК"</t>
  </si>
  <si>
    <t>1208001968</t>
  </si>
  <si>
    <t>21-09-2000 00:00:00</t>
  </si>
  <si>
    <t>26354127</t>
  </si>
  <si>
    <t>ПК "Советская ПМК"</t>
  </si>
  <si>
    <t>1213002702</t>
  </si>
  <si>
    <t>26354110</t>
  </si>
  <si>
    <t>Учреждение Санаторий "Кленовая гора"</t>
  </si>
  <si>
    <t>1201000450</t>
  </si>
  <si>
    <t>17-09-1999 00:00:00</t>
  </si>
  <si>
    <t>27568596</t>
  </si>
  <si>
    <t>ФБУ ИК-6 УФСИН России по РМЭ</t>
  </si>
  <si>
    <t>1215061478</t>
  </si>
  <si>
    <t>30903763</t>
  </si>
  <si>
    <t>ФГБУ "ЦЖКУ" МИНОБОРОНЫ РОССИИ</t>
  </si>
  <si>
    <t>7729314745</t>
  </si>
  <si>
    <t>770101001</t>
  </si>
  <si>
    <t>28426335</t>
  </si>
  <si>
    <t>ФГКУ "Авиационная база"</t>
  </si>
  <si>
    <t>1200001370</t>
  </si>
  <si>
    <t>26354107</t>
  </si>
  <si>
    <t>ФГКУ "Войсковая часть 95504"</t>
  </si>
  <si>
    <t>1200000715</t>
  </si>
  <si>
    <t>10-11-2002 00:00:00</t>
  </si>
  <si>
    <t>26419376</t>
  </si>
  <si>
    <t>ФКУ "База материально технического и военного снабжения УФСИН по Республике Марий Эл"</t>
  </si>
  <si>
    <t>1215079852</t>
  </si>
  <si>
    <t>07-02-2006 00:00:00</t>
  </si>
  <si>
    <t>31638247</t>
  </si>
  <si>
    <t>ФКУ "ИК-3 УФСИН России по Республике Марий Эл"</t>
  </si>
  <si>
    <t>1207000288</t>
  </si>
  <si>
    <t>11-06-1999 00:00:00</t>
  </si>
  <si>
    <t>31638522</t>
  </si>
  <si>
    <t>ФКУ "КП-7 УФСИН России по Республике Марий Эл"</t>
  </si>
  <si>
    <t>1215056037</t>
  </si>
  <si>
    <t>30-04-2021 00:00:00</t>
  </si>
  <si>
    <t>26373663</t>
  </si>
  <si>
    <t>Филиал ООО "Газпром трансгаз Нижний Новгород" - Волжское ЛПУМГ</t>
  </si>
  <si>
    <t>5260080007</t>
  </si>
  <si>
    <t>120102001</t>
  </si>
  <si>
    <t>30-06-1999 00:00:00</t>
  </si>
  <si>
    <t>30914574</t>
  </si>
  <si>
    <t>Филиал ФГБУ "ЦЖКУ" МИНОБОРОНЫ РОССИИ (по ЦВО)</t>
  </si>
  <si>
    <t>667043001</t>
  </si>
  <si>
    <t>28980669</t>
  </si>
  <si>
    <t>Публичное акционерное общество "Т Плюс", Красногорский район Московской области</t>
  </si>
  <si>
    <t>502401001</t>
  </si>
  <si>
    <t>08-07-2015 00:00:00</t>
  </si>
  <si>
    <t>26783310</t>
  </si>
  <si>
    <t>АО "Водоканал" г.Волжск</t>
  </si>
  <si>
    <t>1216020386</t>
  </si>
  <si>
    <t>31-12-2010 00:00:00</t>
  </si>
  <si>
    <t>26654196</t>
  </si>
  <si>
    <t>АО "Красногорский завод "Электродвигатель"</t>
  </si>
  <si>
    <t>1203003778</t>
  </si>
  <si>
    <t>120301001</t>
  </si>
  <si>
    <t>26370671</t>
  </si>
  <si>
    <t>Ассоциация водоснабженцев Параньгинского района  "Чистая вода"</t>
  </si>
  <si>
    <t>1211003644</t>
  </si>
  <si>
    <t>11-11-2005 00:00:00</t>
  </si>
  <si>
    <t>26811422</t>
  </si>
  <si>
    <t>ГБУ РМЭ "Кокшайский дом-интернат для престарелых и инвалидов"</t>
  </si>
  <si>
    <t>1215054946</t>
  </si>
  <si>
    <t>18-06-1997 00:00:00</t>
  </si>
  <si>
    <t>26580069</t>
  </si>
  <si>
    <t>ЗАО "Мари-Турексельхозхимия"</t>
  </si>
  <si>
    <t>1206000119</t>
  </si>
  <si>
    <t>05-07-1996 00:00:00</t>
  </si>
  <si>
    <t>26654233</t>
  </si>
  <si>
    <t>ЗАО "Ронгинское торфобрикетное предприятие"</t>
  </si>
  <si>
    <t>1213000046</t>
  </si>
  <si>
    <t>26654245</t>
  </si>
  <si>
    <t>ЗАО "Сердежское"</t>
  </si>
  <si>
    <t>1212003943</t>
  </si>
  <si>
    <t>121201001</t>
  </si>
  <si>
    <t>05-12-2003 00:00:00</t>
  </si>
  <si>
    <t>31310792</t>
  </si>
  <si>
    <t>МУП "АКВА-СЕРВИС"</t>
  </si>
  <si>
    <t>1225001083</t>
  </si>
  <si>
    <t>122501001</t>
  </si>
  <si>
    <t>21-03-2019 00:00:00</t>
  </si>
  <si>
    <t>31504096</t>
  </si>
  <si>
    <t>МУП "Водоканал Оршанка"</t>
  </si>
  <si>
    <t>1218003379</t>
  </si>
  <si>
    <t>08-04-2021 00:00:00</t>
  </si>
  <si>
    <t>26370649</t>
  </si>
  <si>
    <t>1201004448</t>
  </si>
  <si>
    <t>05-02-2006 00:00:00</t>
  </si>
  <si>
    <t>26370672</t>
  </si>
  <si>
    <t>1211003683</t>
  </si>
  <si>
    <t>28-02-2008 00:00:00</t>
  </si>
  <si>
    <t>31193646</t>
  </si>
  <si>
    <t>1223000528</t>
  </si>
  <si>
    <t>30833974</t>
  </si>
  <si>
    <t>МУП "Водоканал" - Килемарский район</t>
  </si>
  <si>
    <t>1204003890</t>
  </si>
  <si>
    <t>28821368</t>
  </si>
  <si>
    <t>МУП "Водоканал" Мари - Турекского муниципального района</t>
  </si>
  <si>
    <t>1206005678</t>
  </si>
  <si>
    <t>31261760</t>
  </si>
  <si>
    <t>МУП "Водоканал" г.Звенигово""  МО "Городское поселение Звенигово"</t>
  </si>
  <si>
    <t>1225000918</t>
  </si>
  <si>
    <t>22-08-2018 00:00:00</t>
  </si>
  <si>
    <t>28058909</t>
  </si>
  <si>
    <t>МУП "Заря"</t>
  </si>
  <si>
    <t>1202008710</t>
  </si>
  <si>
    <t>27-07-2012 00:00:00</t>
  </si>
  <si>
    <t>26370669</t>
  </si>
  <si>
    <t>МУП "Новоторъяльский водоканал"</t>
  </si>
  <si>
    <t>1209004880</t>
  </si>
  <si>
    <t>30-10-2006 00:00:00</t>
  </si>
  <si>
    <t>28040294</t>
  </si>
  <si>
    <t>МУП "Родник"</t>
  </si>
  <si>
    <t>1202008759</t>
  </si>
  <si>
    <t>120201001</t>
  </si>
  <si>
    <t>10-10-2012 00:00:00</t>
  </si>
  <si>
    <t>26370673</t>
  </si>
  <si>
    <t>МУП "Сернурводоканал"</t>
  </si>
  <si>
    <t>1212003615</t>
  </si>
  <si>
    <t>16-07-2002 00:00:00</t>
  </si>
  <si>
    <t>26354121</t>
  </si>
  <si>
    <t>ОАО "Медведевский водоканал"</t>
  </si>
  <si>
    <t>1207011240</t>
  </si>
  <si>
    <t>12-01-2009 00:00:00</t>
  </si>
  <si>
    <t>31218553</t>
  </si>
  <si>
    <t>ООО ""МАРСЕЛЬХОЗАРТЕЛЬ"</t>
  </si>
  <si>
    <t>1206004145</t>
  </si>
  <si>
    <t>14-01-2003 00:00:00</t>
  </si>
  <si>
    <t>26811376</t>
  </si>
  <si>
    <t>ООО "Аспект"</t>
  </si>
  <si>
    <t>1203008416</t>
  </si>
  <si>
    <t>29649760</t>
  </si>
  <si>
    <t>ООО "Базис М"</t>
  </si>
  <si>
    <t>1215142864</t>
  </si>
  <si>
    <t>30991873</t>
  </si>
  <si>
    <t>ООО "ВКБ-ЭКО"</t>
  </si>
  <si>
    <t>1225000682</t>
  </si>
  <si>
    <t>21-04-2017 00:00:00</t>
  </si>
  <si>
    <t>27261804</t>
  </si>
  <si>
    <t>ООО "Водоканал-Китунькино"</t>
  </si>
  <si>
    <t>1201005804</t>
  </si>
  <si>
    <t>12-12-2010 00:00:00</t>
  </si>
  <si>
    <t>27260773</t>
  </si>
  <si>
    <t>ООО "Водоканал-Малое Иваново"</t>
  </si>
  <si>
    <t>1201005836</t>
  </si>
  <si>
    <t>13-12-2010 00:00:00</t>
  </si>
  <si>
    <t>27269965</t>
  </si>
  <si>
    <t>ООО "Еласовское водоснабжение"</t>
  </si>
  <si>
    <t>1202008237</t>
  </si>
  <si>
    <t>26550045</t>
  </si>
  <si>
    <t>ООО "Жилкомсервис"</t>
  </si>
  <si>
    <t>1208006980</t>
  </si>
  <si>
    <t>18-12-2009 00:00:00</t>
  </si>
  <si>
    <t>27592250</t>
  </si>
  <si>
    <t>ООО "Жилтехник"</t>
  </si>
  <si>
    <t>1204003629</t>
  </si>
  <si>
    <t>28159784</t>
  </si>
  <si>
    <t>ООО "Звениговский водоканал"</t>
  </si>
  <si>
    <t>1203009787</t>
  </si>
  <si>
    <t>28-05-2013 00:00:00</t>
  </si>
  <si>
    <t>25-10-2023 00:00:00</t>
  </si>
  <si>
    <t>28932339</t>
  </si>
  <si>
    <t>ООО "Колодец"</t>
  </si>
  <si>
    <t>1202008854</t>
  </si>
  <si>
    <t>28273271</t>
  </si>
  <si>
    <t>ООО "Крестьянское подворье-АГРО"</t>
  </si>
  <si>
    <t>1207010656</t>
  </si>
  <si>
    <t>08-05-2008 00:00:00</t>
  </si>
  <si>
    <t>31379031</t>
  </si>
  <si>
    <t>ООО "Кужмарские коммунальные сети"</t>
  </si>
  <si>
    <t>1225001100</t>
  </si>
  <si>
    <t>12-01-2020 00:00:00</t>
  </si>
  <si>
    <t>31723744</t>
  </si>
  <si>
    <t>ООО "Моркинская жилищная компания"</t>
  </si>
  <si>
    <t>1225000065</t>
  </si>
  <si>
    <t>05-02-2015 00:00:00</t>
  </si>
  <si>
    <t>28979974</t>
  </si>
  <si>
    <t>ООО "Озеркинский водоканал"</t>
  </si>
  <si>
    <t>1202008910</t>
  </si>
  <si>
    <t>27753491</t>
  </si>
  <si>
    <t>ООО "Пайгусовское водоснабжение"</t>
  </si>
  <si>
    <t>1202008364</t>
  </si>
  <si>
    <t>27753455</t>
  </si>
  <si>
    <t>ООО "Посейдон"</t>
  </si>
  <si>
    <t>1202008621</t>
  </si>
  <si>
    <t>100201001</t>
  </si>
  <si>
    <t>12-10-2011 00:00:00</t>
  </si>
  <si>
    <t>31193637</t>
  </si>
  <si>
    <t>ООО "Птицефабрика "Приволжская"</t>
  </si>
  <si>
    <t>1224003923</t>
  </si>
  <si>
    <t>122401001</t>
  </si>
  <si>
    <t>31668470</t>
  </si>
  <si>
    <t>ООО "Птицефабрика Горномарийская"</t>
  </si>
  <si>
    <t>1200009186</t>
  </si>
  <si>
    <t>28-02-2023 00:00:00</t>
  </si>
  <si>
    <t>28965879</t>
  </si>
  <si>
    <t>ООО "Пятерочка"</t>
  </si>
  <si>
    <t>1203005817</t>
  </si>
  <si>
    <t>26796330</t>
  </si>
  <si>
    <t>ООО "Ремонтно-строительный участок"</t>
  </si>
  <si>
    <t>1207010960</t>
  </si>
  <si>
    <t>28821999</t>
  </si>
  <si>
    <t>ООО "СТР Профит"</t>
  </si>
  <si>
    <t>1209005274</t>
  </si>
  <si>
    <t>31743322</t>
  </si>
  <si>
    <t>ООО "Тамбовский бройлер"</t>
  </si>
  <si>
    <t>6821000393</t>
  </si>
  <si>
    <t>120045001</t>
  </si>
  <si>
    <t>27-11-2019 00:00:00</t>
  </si>
  <si>
    <t>28820054</t>
  </si>
  <si>
    <t>ООО "Хлебниковское"</t>
  </si>
  <si>
    <t>1206004427</t>
  </si>
  <si>
    <t>26654254</t>
  </si>
  <si>
    <t>ООО "Холдинг Морки"</t>
  </si>
  <si>
    <t>1208006941</t>
  </si>
  <si>
    <t>09-12-2009 00:00:00</t>
  </si>
  <si>
    <t>26579773</t>
  </si>
  <si>
    <t>ООО "Чапаевское"</t>
  </si>
  <si>
    <t>1202006649</t>
  </si>
  <si>
    <t>25-02-2005 00:00:00</t>
  </si>
  <si>
    <t>26796653</t>
  </si>
  <si>
    <t>ООО "Шойбулакское"</t>
  </si>
  <si>
    <t>1207011321</t>
  </si>
  <si>
    <t>26654229</t>
  </si>
  <si>
    <t>ООО "Юринский водоканал"</t>
  </si>
  <si>
    <t>1214002328</t>
  </si>
  <si>
    <t>17-11-2023 00:00:00</t>
  </si>
  <si>
    <t>26579789</t>
  </si>
  <si>
    <t>ООО Агрофирма "Акпарс"</t>
  </si>
  <si>
    <t>1206004635</t>
  </si>
  <si>
    <t>30435063</t>
  </si>
  <si>
    <t>ООО Аква-МУС</t>
  </si>
  <si>
    <t>1203010260</t>
  </si>
  <si>
    <t>26427270</t>
  </si>
  <si>
    <t>ООО Медведевская управляющая компания "ЭксЖилФонд"</t>
  </si>
  <si>
    <t>1207009065</t>
  </si>
  <si>
    <t>09-10-2006 00:00:00</t>
  </si>
  <si>
    <t>27264863</t>
  </si>
  <si>
    <t>ООО РЭК "Жилкомсервис"</t>
  </si>
  <si>
    <t>1207008738</t>
  </si>
  <si>
    <t>26587397</t>
  </si>
  <si>
    <t>ПК "Емешевский"</t>
  </si>
  <si>
    <t>1202008100</t>
  </si>
  <si>
    <t>22-04-2010 00:00:00</t>
  </si>
  <si>
    <t>26540336</t>
  </si>
  <si>
    <t>ПК СХА (колхоз) "Искра"</t>
  </si>
  <si>
    <t>1205002674</t>
  </si>
  <si>
    <t>19-11-1998 00:00:00</t>
  </si>
  <si>
    <t>26436096</t>
  </si>
  <si>
    <t>ПО "Даниловское"</t>
  </si>
  <si>
    <t>1215027406</t>
  </si>
  <si>
    <t>02-03-2001 00:00:00</t>
  </si>
  <si>
    <t>27753467</t>
  </si>
  <si>
    <t>СПК "Волга"</t>
  </si>
  <si>
    <t>1202004722</t>
  </si>
  <si>
    <t>26581432</t>
  </si>
  <si>
    <t>СПК "Москва"</t>
  </si>
  <si>
    <t>1202000566</t>
  </si>
  <si>
    <t>13-12-1993 00:00:00</t>
  </si>
  <si>
    <t>26581393</t>
  </si>
  <si>
    <t>СПК птицефабрика "Горномарийская"</t>
  </si>
  <si>
    <t>1202001665</t>
  </si>
  <si>
    <t>04-11-2004 00:00:00</t>
  </si>
  <si>
    <t>26654224</t>
  </si>
  <si>
    <t>СХПК - СХА (колхоз) "Первое мая"</t>
  </si>
  <si>
    <t>1209000580</t>
  </si>
  <si>
    <t>30959518</t>
  </si>
  <si>
    <t>ФКУ "ИК-4 УФСИН по Республике Марий Эл"</t>
  </si>
  <si>
    <t>1207005342</t>
  </si>
  <si>
    <t>25-12-2002 00:00:00</t>
  </si>
  <si>
    <t>26358437</t>
  </si>
  <si>
    <t>Филиал ООО "Газпром трансгаз Нижний Новгород" - Моркинское ЛПУМГ</t>
  </si>
  <si>
    <t>120802001</t>
  </si>
  <si>
    <t>15-12-1999 00:00:00</t>
  </si>
  <si>
    <t>26434999</t>
  </si>
  <si>
    <t>ООО "ИнвестКомунСтрой"</t>
  </si>
  <si>
    <t>1213005245</t>
  </si>
  <si>
    <t>26796779</t>
  </si>
  <si>
    <t>ООО "Суслонгерское водо-канализационное хозяйство"</t>
  </si>
  <si>
    <t>1203008504</t>
  </si>
  <si>
    <t>30-11-2010 00:00:00</t>
  </si>
  <si>
    <t>26766592</t>
  </si>
  <si>
    <t>ООО "Управляющая организация"</t>
  </si>
  <si>
    <t>1217004725</t>
  </si>
  <si>
    <t>28978616</t>
  </si>
  <si>
    <t>ИП Алтыбаева С.А.</t>
  </si>
  <si>
    <t>772640599742</t>
  </si>
  <si>
    <t>28435773</t>
  </si>
  <si>
    <t>ИП Краснов В.А.</t>
  </si>
  <si>
    <t>120301782491</t>
  </si>
  <si>
    <t>28436509</t>
  </si>
  <si>
    <t>ИП Попов А.Н.</t>
  </si>
  <si>
    <t>121502603112</t>
  </si>
  <si>
    <t>16-10-2000 00:00:00</t>
  </si>
  <si>
    <t>26433551</t>
  </si>
  <si>
    <t>МУП "Новоторъяльский жилсервис"</t>
  </si>
  <si>
    <t>1209004873</t>
  </si>
  <si>
    <t>27573959</t>
  </si>
  <si>
    <t>ОАО "Комбинат благоустройства"</t>
  </si>
  <si>
    <t>1216020403</t>
  </si>
  <si>
    <t>26540490</t>
  </si>
  <si>
    <t>ООО "Благоустройство"</t>
  </si>
  <si>
    <t>1207010977</t>
  </si>
  <si>
    <t>28-10-2008 00:00:00</t>
  </si>
  <si>
    <t>30350805</t>
  </si>
  <si>
    <t>ООО "Куженерводоканал"</t>
  </si>
  <si>
    <t>1205004720</t>
  </si>
  <si>
    <t>31667349</t>
  </si>
  <si>
    <t>ООО "Мусоросортировочный комплекс-Йошкар-Ола"</t>
  </si>
  <si>
    <t>1200005720</t>
  </si>
  <si>
    <t>12-05-2022 00:00:00</t>
  </si>
  <si>
    <t>26435009</t>
  </si>
  <si>
    <t>ООО "СоветскКоммунКомплект"</t>
  </si>
  <si>
    <t>1213005238</t>
  </si>
  <si>
    <t>31699959</t>
  </si>
  <si>
    <t>ООО "Чистый город"</t>
  </si>
  <si>
    <t>1207008914</t>
  </si>
  <si>
    <t>31223016</t>
  </si>
  <si>
    <t>1217006948</t>
  </si>
  <si>
    <t>31667353</t>
  </si>
  <si>
    <t>ООО"Мусоросортировочный комплекс-Сернур"</t>
  </si>
  <si>
    <t>1200002208</t>
  </si>
  <si>
    <t>27-08-2021 00:00:00</t>
  </si>
  <si>
    <t>NSRF</t>
  </si>
  <si>
    <t>MR_NAME</t>
  </si>
  <si>
    <t>OKTMO_MR_NAME</t>
  </si>
  <si>
    <t>MO_NAME</t>
  </si>
  <si>
    <t>OKTMO_NAME</t>
  </si>
  <si>
    <t>TYPE</t>
  </si>
  <si>
    <t>MR_ID</t>
  </si>
  <si>
    <t>Волжский муниципальный район</t>
  </si>
  <si>
    <t>88604000</t>
  </si>
  <si>
    <t>Большепаратское сельское поселение</t>
  </si>
  <si>
    <t>88604405</t>
  </si>
  <si>
    <t>сельское поселение</t>
  </si>
  <si>
    <t>муниципальный район</t>
  </si>
  <si>
    <t>Карамасское сельское поселение</t>
  </si>
  <si>
    <t>88604418</t>
  </si>
  <si>
    <t>Обшиярское сельское поселение</t>
  </si>
  <si>
    <t>88604424</t>
  </si>
  <si>
    <t>Петъяльское сельское поселение</t>
  </si>
  <si>
    <t>88604435</t>
  </si>
  <si>
    <t>Помарское</t>
  </si>
  <si>
    <t>88604442</t>
  </si>
  <si>
    <t>Сотнурское сельское поселение</t>
  </si>
  <si>
    <t>88604447</t>
  </si>
  <si>
    <t>Эмековское</t>
  </si>
  <si>
    <t>88604469</t>
  </si>
  <si>
    <t>пгт. Приволжский</t>
  </si>
  <si>
    <t>88604159</t>
  </si>
  <si>
    <t>городское поселение, в состав которого входит поселок</t>
  </si>
  <si>
    <t>Горномарийский муниципальный район</t>
  </si>
  <si>
    <t>88608000</t>
  </si>
  <si>
    <t>Виловатовское сельское поселение</t>
  </si>
  <si>
    <t>88608420</t>
  </si>
  <si>
    <t>Еласовское сельское поселение</t>
  </si>
  <si>
    <t>88608425</t>
  </si>
  <si>
    <t>Емешевское сельское поселение</t>
  </si>
  <si>
    <t>88608430</t>
  </si>
  <si>
    <t>Красноволжское сельское поселение</t>
  </si>
  <si>
    <t>88608440</t>
  </si>
  <si>
    <t>Кузнецовское сельское поселение</t>
  </si>
  <si>
    <t>88608445</t>
  </si>
  <si>
    <t>Микряковское сельское поселение</t>
  </si>
  <si>
    <t>88608450</t>
  </si>
  <si>
    <t>Озеркинское сельское поселение</t>
  </si>
  <si>
    <t>88608435</t>
  </si>
  <si>
    <t>Пайгусовское сельское поселение</t>
  </si>
  <si>
    <t>88608455</t>
  </si>
  <si>
    <t>Троицко-Посадское</t>
  </si>
  <si>
    <t>88608465</t>
  </si>
  <si>
    <t>Усолинское сельское поселение</t>
  </si>
  <si>
    <t>88608470</t>
  </si>
  <si>
    <t>Звениговский муниципальный район</t>
  </si>
  <si>
    <t>88612000</t>
  </si>
  <si>
    <t>Исменецкое сельское поселение</t>
  </si>
  <si>
    <t>88612405</t>
  </si>
  <si>
    <t>Кокшайское сельское поселение</t>
  </si>
  <si>
    <t>88612450</t>
  </si>
  <si>
    <t>Кокшамарское сельское поселение</t>
  </si>
  <si>
    <t>88612420</t>
  </si>
  <si>
    <t>Красноярское сельское поселение</t>
  </si>
  <si>
    <t>88612425</t>
  </si>
  <si>
    <t>Кужмарское сельское поселение</t>
  </si>
  <si>
    <t>88612430</t>
  </si>
  <si>
    <t>Черноозерское</t>
  </si>
  <si>
    <t>88612440</t>
  </si>
  <si>
    <t>Шелангерское сельское поселение</t>
  </si>
  <si>
    <t>88612445</t>
  </si>
  <si>
    <t>г. Звенигово</t>
  </si>
  <si>
    <t>88612101</t>
  </si>
  <si>
    <t>городское поселение, в состав которого входит город</t>
  </si>
  <si>
    <t>пгт. Красногорский</t>
  </si>
  <si>
    <t>88612162</t>
  </si>
  <si>
    <t>пгт. Суслонгер</t>
  </si>
  <si>
    <t>88612184</t>
  </si>
  <si>
    <t>Килемарский муниципальный район</t>
  </si>
  <si>
    <t>88616000</t>
  </si>
  <si>
    <t>Ардинское</t>
  </si>
  <si>
    <t>88616403</t>
  </si>
  <si>
    <t>Визимьярское сельское поселение</t>
  </si>
  <si>
    <t>88616415</t>
  </si>
  <si>
    <t>Красномостовское</t>
  </si>
  <si>
    <t>88616435</t>
  </si>
  <si>
    <t>Кумьинское</t>
  </si>
  <si>
    <t>88616444</t>
  </si>
  <si>
    <t>Юксарское</t>
  </si>
  <si>
    <t>88616490</t>
  </si>
  <si>
    <t>пгт. Килемары</t>
  </si>
  <si>
    <t>88616151</t>
  </si>
  <si>
    <t>Куженерский муниципальный район</t>
  </si>
  <si>
    <t>88620000</t>
  </si>
  <si>
    <t>Иштымбальское</t>
  </si>
  <si>
    <t>88620420</t>
  </si>
  <si>
    <t>Русско-Шойское сельское поселение</t>
  </si>
  <si>
    <t>88620450</t>
  </si>
  <si>
    <t>Салтакъяльское</t>
  </si>
  <si>
    <t>88620460</t>
  </si>
  <si>
    <t>Токтайбелякское</t>
  </si>
  <si>
    <t>88620470</t>
  </si>
  <si>
    <t>Тумьюмучашское</t>
  </si>
  <si>
    <t>88620480</t>
  </si>
  <si>
    <t>Шорсолинское</t>
  </si>
  <si>
    <t>88620485</t>
  </si>
  <si>
    <t>Шудумарское</t>
  </si>
  <si>
    <t>88620440</t>
  </si>
  <si>
    <t>Юледурское сельское поселение</t>
  </si>
  <si>
    <t>88620490</t>
  </si>
  <si>
    <t>пгт. Куженер</t>
  </si>
  <si>
    <t>88620151</t>
  </si>
  <si>
    <t>Мари-Турекский муниципальный район</t>
  </si>
  <si>
    <t>88624000</t>
  </si>
  <si>
    <t>Карлыганское</t>
  </si>
  <si>
    <t>88624405</t>
  </si>
  <si>
    <t>Косолаповское сельское поселение</t>
  </si>
  <si>
    <t>88624410</t>
  </si>
  <si>
    <t>Мари-Биляморское</t>
  </si>
  <si>
    <t>88624420</t>
  </si>
  <si>
    <t>Марийское</t>
  </si>
  <si>
    <t>88624422</t>
  </si>
  <si>
    <t>Хлебниковское сельское поселение</t>
  </si>
  <si>
    <t>88624445</t>
  </si>
  <si>
    <t>пгт. Мари-Турек</t>
  </si>
  <si>
    <t>88624151</t>
  </si>
  <si>
    <t>Медведевский муниципальный район</t>
  </si>
  <si>
    <t>88628000</t>
  </si>
  <si>
    <t>Азановское</t>
  </si>
  <si>
    <t>88628405</t>
  </si>
  <si>
    <t>Азяковское</t>
  </si>
  <si>
    <t>88628407</t>
  </si>
  <si>
    <t>Ежовское</t>
  </si>
  <si>
    <t>88628410</t>
  </si>
  <si>
    <t>Знаменское</t>
  </si>
  <si>
    <t>88628412</t>
  </si>
  <si>
    <t>88628418</t>
  </si>
  <si>
    <t>60</t>
  </si>
  <si>
    <t>Кундышское сельское поселение</t>
  </si>
  <si>
    <t>88628419</t>
  </si>
  <si>
    <t>61</t>
  </si>
  <si>
    <t>Куярское сельское поселение</t>
  </si>
  <si>
    <t>88628417</t>
  </si>
  <si>
    <t>62</t>
  </si>
  <si>
    <t>Люльпанское</t>
  </si>
  <si>
    <t>88628420</t>
  </si>
  <si>
    <t>63</t>
  </si>
  <si>
    <t>64</t>
  </si>
  <si>
    <t>Нурминское</t>
  </si>
  <si>
    <t>88628430</t>
  </si>
  <si>
    <t>65</t>
  </si>
  <si>
    <t>Пекшиксолинское</t>
  </si>
  <si>
    <t>88628425</t>
  </si>
  <si>
    <t>Русско-Кукморское</t>
  </si>
  <si>
    <t>88628440</t>
  </si>
  <si>
    <t>67</t>
  </si>
  <si>
    <t>Руэмское сельское поселение</t>
  </si>
  <si>
    <t>88628442</t>
  </si>
  <si>
    <t>Сенькинское сельское поселение</t>
  </si>
  <si>
    <t>88628448</t>
  </si>
  <si>
    <t>69</t>
  </si>
  <si>
    <t>Сидоровское сельское поселение</t>
  </si>
  <si>
    <t>88628450</t>
  </si>
  <si>
    <t>70</t>
  </si>
  <si>
    <t>Шойбулакское сельское поселение</t>
  </si>
  <si>
    <t>88628470</t>
  </si>
  <si>
    <t>71</t>
  </si>
  <si>
    <t>Юбилейное</t>
  </si>
  <si>
    <t>88628480</t>
  </si>
  <si>
    <t>72</t>
  </si>
  <si>
    <t>пгт. Краснооктябрьский</t>
  </si>
  <si>
    <t>88628160</t>
  </si>
  <si>
    <t>73</t>
  </si>
  <si>
    <t>пгт. Медведево</t>
  </si>
  <si>
    <t>88628151</t>
  </si>
  <si>
    <t>74</t>
  </si>
  <si>
    <t>Моркинский муниципальный район</t>
  </si>
  <si>
    <t>88632000</t>
  </si>
  <si>
    <t>Зеленогорское</t>
  </si>
  <si>
    <t>88632415</t>
  </si>
  <si>
    <t>75</t>
  </si>
  <si>
    <t>Коркатовское</t>
  </si>
  <si>
    <t>88632425</t>
  </si>
  <si>
    <t>76</t>
  </si>
  <si>
    <t>Красностекловарское</t>
  </si>
  <si>
    <t>88632426</t>
  </si>
  <si>
    <t>77</t>
  </si>
  <si>
    <t>78</t>
  </si>
  <si>
    <t>Октябрьское сельское поселение</t>
  </si>
  <si>
    <t>88632445</t>
  </si>
  <si>
    <t>79</t>
  </si>
  <si>
    <t>Себеусадское</t>
  </si>
  <si>
    <t>88632455</t>
  </si>
  <si>
    <t>80</t>
  </si>
  <si>
    <t>Семисолинское сельское поселение</t>
  </si>
  <si>
    <t>88632460</t>
  </si>
  <si>
    <t>81</t>
  </si>
  <si>
    <t>Шалинское</t>
  </si>
  <si>
    <t>88632470</t>
  </si>
  <si>
    <t>82</t>
  </si>
  <si>
    <t>Шиньшинское</t>
  </si>
  <si>
    <t>88632475</t>
  </si>
  <si>
    <t>83</t>
  </si>
  <si>
    <t>Шоруньжинское сельское поселение</t>
  </si>
  <si>
    <t>88632480</t>
  </si>
  <si>
    <t>84</t>
  </si>
  <si>
    <t>пгт. Морки</t>
  </si>
  <si>
    <t>88632151</t>
  </si>
  <si>
    <t>85</t>
  </si>
  <si>
    <t>Новоторъяльский муниципальный район</t>
  </si>
  <si>
    <t>88636000</t>
  </si>
  <si>
    <t>Масканурское</t>
  </si>
  <si>
    <t>88636420</t>
  </si>
  <si>
    <t>86</t>
  </si>
  <si>
    <t>87</t>
  </si>
  <si>
    <t>Пектубаевское</t>
  </si>
  <si>
    <t>88636435</t>
  </si>
  <si>
    <t>88</t>
  </si>
  <si>
    <t>Староторъяльское</t>
  </si>
  <si>
    <t>88636440</t>
  </si>
  <si>
    <t>89</t>
  </si>
  <si>
    <t>Чуксолинское сельское поселение</t>
  </si>
  <si>
    <t>88636450</t>
  </si>
  <si>
    <t>90</t>
  </si>
  <si>
    <t>пгт. Новый Торъял</t>
  </si>
  <si>
    <t>88636151</t>
  </si>
  <si>
    <t>91</t>
  </si>
  <si>
    <t>Оршанский муниципальный район</t>
  </si>
  <si>
    <t>88640000</t>
  </si>
  <si>
    <t>Великопольское</t>
  </si>
  <si>
    <t>88640405</t>
  </si>
  <si>
    <t>92</t>
  </si>
  <si>
    <t>Марковское</t>
  </si>
  <si>
    <t>88640420</t>
  </si>
  <si>
    <t>93</t>
  </si>
  <si>
    <t>94</t>
  </si>
  <si>
    <t>Шулкинское</t>
  </si>
  <si>
    <t>88640450</t>
  </si>
  <si>
    <t>95</t>
  </si>
  <si>
    <t>пгт. Оршанка</t>
  </si>
  <si>
    <t>88640151</t>
  </si>
  <si>
    <t>96</t>
  </si>
  <si>
    <t>Параньгинский муниципальный район</t>
  </si>
  <si>
    <t>88644000</t>
  </si>
  <si>
    <t>Алашайское</t>
  </si>
  <si>
    <t>88644411</t>
  </si>
  <si>
    <t>97</t>
  </si>
  <si>
    <t>Елеевское</t>
  </si>
  <si>
    <t>88644422</t>
  </si>
  <si>
    <t>98</t>
  </si>
  <si>
    <t>Илетское</t>
  </si>
  <si>
    <t>88644433</t>
  </si>
  <si>
    <t>99</t>
  </si>
  <si>
    <t>Ильпанурское</t>
  </si>
  <si>
    <t>88644444</t>
  </si>
  <si>
    <t>100</t>
  </si>
  <si>
    <t>Куракинское</t>
  </si>
  <si>
    <t>88644455</t>
  </si>
  <si>
    <t>101</t>
  </si>
  <si>
    <t>102</t>
  </si>
  <si>
    <t>Портянурское</t>
  </si>
  <si>
    <t>88644477</t>
  </si>
  <si>
    <t>103</t>
  </si>
  <si>
    <t>Русско-Ляжмаринское</t>
  </si>
  <si>
    <t>88644480</t>
  </si>
  <si>
    <t>104</t>
  </si>
  <si>
    <t>Усолинское</t>
  </si>
  <si>
    <t>88644488</t>
  </si>
  <si>
    <t>105</t>
  </si>
  <si>
    <t>пгт. Параньга</t>
  </si>
  <si>
    <t>88644151</t>
  </si>
  <si>
    <t>106</t>
  </si>
  <si>
    <t>Сернурский муниципальный район</t>
  </si>
  <si>
    <t>88648000</t>
  </si>
  <si>
    <t>Верхнекугенерское</t>
  </si>
  <si>
    <t>88648455</t>
  </si>
  <si>
    <t>107</t>
  </si>
  <si>
    <t>Дубниковское</t>
  </si>
  <si>
    <t>88648415</t>
  </si>
  <si>
    <t>108</t>
  </si>
  <si>
    <t>Зашижемское</t>
  </si>
  <si>
    <t>88648420</t>
  </si>
  <si>
    <t>109</t>
  </si>
  <si>
    <t>Казанское сельское поселение</t>
  </si>
  <si>
    <t>88648425</t>
  </si>
  <si>
    <t>110</t>
  </si>
  <si>
    <t>Кукнурское сельское поселение</t>
  </si>
  <si>
    <t>88648435</t>
  </si>
  <si>
    <t>111</t>
  </si>
  <si>
    <t>Марисолинское</t>
  </si>
  <si>
    <t>88648445</t>
  </si>
  <si>
    <t>112</t>
  </si>
  <si>
    <t>Сердежское сельское поселение</t>
  </si>
  <si>
    <t>88648468</t>
  </si>
  <si>
    <t>113</t>
  </si>
  <si>
    <t>114</t>
  </si>
  <si>
    <t>Чендемеровское</t>
  </si>
  <si>
    <t>88648475</t>
  </si>
  <si>
    <t>115</t>
  </si>
  <si>
    <t>пгт. Сернур</t>
  </si>
  <si>
    <t>88648151</t>
  </si>
  <si>
    <t>116</t>
  </si>
  <si>
    <t>Советский муниципальный район</t>
  </si>
  <si>
    <t>88652000</t>
  </si>
  <si>
    <t>Алексеевское</t>
  </si>
  <si>
    <t>88652410</t>
  </si>
  <si>
    <t>117</t>
  </si>
  <si>
    <t>Верх-Ушнурское</t>
  </si>
  <si>
    <t>88652420</t>
  </si>
  <si>
    <t>118</t>
  </si>
  <si>
    <t>Вятское</t>
  </si>
  <si>
    <t>88652430</t>
  </si>
  <si>
    <t>119</t>
  </si>
  <si>
    <t>Кужмаринское</t>
  </si>
  <si>
    <t>88652447</t>
  </si>
  <si>
    <t>120</t>
  </si>
  <si>
    <t>Михайловское сельское поселение</t>
  </si>
  <si>
    <t>88652470</t>
  </si>
  <si>
    <t>121</t>
  </si>
  <si>
    <t>Ронгинское сельское поселение</t>
  </si>
  <si>
    <t>88652490</t>
  </si>
  <si>
    <t>122</t>
  </si>
  <si>
    <t>123</t>
  </si>
  <si>
    <t>Солнечное сельское поселение</t>
  </si>
  <si>
    <t>88652492</t>
  </si>
  <si>
    <t>124</t>
  </si>
  <si>
    <t>пгт. Советский</t>
  </si>
  <si>
    <t>88652151</t>
  </si>
  <si>
    <t>125</t>
  </si>
  <si>
    <t>Юринский муниципальный район</t>
  </si>
  <si>
    <t>88656000</t>
  </si>
  <si>
    <t>Быковское</t>
  </si>
  <si>
    <t>88656474</t>
  </si>
  <si>
    <t>126</t>
  </si>
  <si>
    <t>Васильевское</t>
  </si>
  <si>
    <t>88656411</t>
  </si>
  <si>
    <t>127</t>
  </si>
  <si>
    <t>Козиковское</t>
  </si>
  <si>
    <t>88656422</t>
  </si>
  <si>
    <t>128</t>
  </si>
  <si>
    <t>Марьинское</t>
  </si>
  <si>
    <t>88656466</t>
  </si>
  <si>
    <t>129</t>
  </si>
  <si>
    <t>130</t>
  </si>
  <si>
    <t>Юркинское</t>
  </si>
  <si>
    <t>88656477</t>
  </si>
  <si>
    <t>131</t>
  </si>
  <si>
    <t>пгт. Юрино</t>
  </si>
  <si>
    <t>88656151</t>
  </si>
  <si>
    <t>132</t>
  </si>
  <si>
    <t>г. Волжск</t>
  </si>
  <si>
    <t>88705000</t>
  </si>
  <si>
    <t>городской округ</t>
  </si>
  <si>
    <t>133</t>
  </si>
  <si>
    <t>г. Козьмодемьянск</t>
  </si>
  <si>
    <t>88715000</t>
  </si>
  <si>
    <t>135</t>
  </si>
  <si>
    <t>NUMBER_POINT</t>
  </si>
  <si>
    <t>INVP_NAME</t>
  </si>
  <si>
    <t>INVP_ID</t>
  </si>
  <si>
    <t>L_START_DATE</t>
  </si>
  <si>
    <t>L_END_DATE</t>
  </si>
  <si>
    <t>L_DECISION_NAME</t>
  </si>
  <si>
    <t>L_DECISION_TYPE</t>
  </si>
  <si>
    <t>L_DECISION_NMBR</t>
  </si>
  <si>
    <t>L_DECISION_DATE</t>
  </si>
  <si>
    <t>5220260448</t>
  </si>
  <si>
    <t>TER_NAME</t>
  </si>
  <si>
    <t>Территория 1</t>
  </si>
  <si>
    <t>ID_TARIFF_NAME</t>
  </si>
  <si>
    <t>TARIFF_NAME</t>
  </si>
  <si>
    <t>VED_NAME</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</si>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</sst>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00"/>
    <numFmt numFmtId="165" formatCode="#,##0.000"/>
    <numFmt numFmtId="166" formatCode="#,##0.0000"/>
    <numFmt numFmtId="167" formatCode="dd\.mm\.yyyy"/>
    <numFmt numFmtId="168" formatCode="h:mm;@"/>
    <numFmt numFmtId="173" formatCode="_-* #,##0.00[$€-1]_-;\-* #,##0.00[$€-1]_-;_-* &quot;-&quot;??[$€-1]_-"/>
    <numFmt numFmtId="174"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73" fontId="3" fillId="0" borderId="0" applyFill="0" applyBorder="0"/>
    <xf numFmtId="38" fontId="4" fillId="0" borderId="0" applyFill="0" applyBorder="0">
      <alignment vertical="top"/>
    </xf>
    <xf numFmtId="174"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771">
    <xf numFmtId="49" fontId="0" fillId="0" borderId="0" xfId="0" applyNumberFormat="1" applyFont="1">
      <alignment vertical="top"/>
    </xf>
    <xf numFmtId="0" fontId="84" fillId="0" borderId="0" xfId="0" applyNumberFormat="1" applyFont="1" applyAlignment="1">
      <alignment vertical="center" wrapText="1"/>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0" fontId="18" fillId="0" borderId="0" xfId="0" applyNumberFormat="1" applyFont="1" applyAlignment="1">
      <alignment horizontal="center" vertical="center" wrapText="1"/>
    </xf>
    <xf numFmtId="49" fontId="5" fillId="8" borderId="8" xfId="0" applyNumberFormat="1" applyFont="1" applyFill="1" applyBorder="1" applyAlignment="1">
      <alignment horizontal="left" vertical="center" wrapText="1" inden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14" fillId="0" borderId="0" xfId="0" applyNumberFormat="1" applyFont="1" applyAlignment="1">
      <alignmen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8" borderId="10" xfId="0" applyNumberFormat="1" applyFont="1" applyFill="1" applyBorder="1" applyAlignment="1">
      <alignment vertical="center" wrapText="1"/>
    </xf>
    <xf numFmtId="0" fontId="30" fillId="0" borderId="30" xfId="0" applyNumberFormat="1" applyFont="1" applyBorder="1" applyAlignment="1">
      <alignment vertical="center" wrapText="1"/>
    </xf>
    <xf numFmtId="0" fontId="5" fillId="0" borderId="34"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9" fontId="0" fillId="7" borderId="3" xfId="0" applyNumberFormat="1" applyFont="1" applyFill="1" applyBorder="1" applyAlignment="1">
      <alignment horizontal="center" vertical="center"/>
    </xf>
    <xf numFmtId="49" fontId="0" fillId="0" borderId="3" xfId="0" applyNumberFormat="1" applyFont="1" applyBorder="1" applyAlignment="1">
      <alignment vertical="center" wrapText="1"/>
    </xf>
    <xf numFmtId="4" fontId="0" fillId="7" borderId="3" xfId="0" applyNumberFormat="1" applyFont="1" applyFill="1" applyBorder="1" applyAlignment="1">
      <alignment horizontal="right" vertical="center" wrapText="1"/>
    </xf>
    <xf numFmtId="4" fontId="0" fillId="9"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left" vertical="center" wrapText="1"/>
    </xf>
    <xf numFmtId="49" fontId="30" fillId="0" borderId="0" xfId="0" applyNumberFormat="1" applyFont="1" applyAlignment="1">
      <alignment horizontal="center" vertical="center" wrapText="1"/>
    </xf>
    <xf numFmtId="49" fontId="81" fillId="0" borderId="0" xfId="0" applyNumberFormat="1" applyFont="1" applyAlignment="1">
      <alignment vertical="center"/>
    </xf>
    <xf numFmtId="49" fontId="27" fillId="0" borderId="0" xfId="0" applyNumberFormat="1" applyFont="1" applyAlignment="1">
      <alignment vertical="center"/>
    </xf>
    <xf numFmtId="49" fontId="27" fillId="8" borderId="0" xfId="0" applyNumberFormat="1" applyFont="1" applyFill="1" applyAlignment="1">
      <alignment vertical="center"/>
    </xf>
    <xf numFmtId="0" fontId="85" fillId="0" borderId="38" xfId="0" applyNumberFormat="1" applyFont="1" applyBorder="1" applyAlignment="1">
      <alignment horizontal="left" vertical="center" indent="1"/>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0" fillId="0" borderId="0" xfId="0" applyNumberFormat="1" applyFont="1">
      <alignment vertical="top"/>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49" fontId="5" fillId="9" borderId="3" xfId="0" applyNumberFormat="1" applyFont="1" applyFill="1" applyBorder="1" applyAlignment="1" applyProtection="1">
      <alignment horizontal="left" vertical="center"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49" fontId="27" fillId="0" borderId="0" xfId="0" applyNumberFormat="1" applyFont="1">
      <alignment vertical="top"/>
    </xf>
    <xf numFmtId="0" fontId="5" fillId="0" borderId="0" xfId="0" applyNumberFormat="1" applyFont="1" applyAlignment="1"/>
    <xf numFmtId="0" fontId="0" fillId="0" borderId="0" xfId="0" applyNumberFormat="1" applyFont="1">
      <alignment vertical="top"/>
    </xf>
    <xf numFmtId="4" fontId="5" fillId="9" borderId="3" xfId="0" applyNumberFormat="1" applyFont="1" applyFill="1" applyBorder="1" applyAlignment="1" applyProtection="1">
      <alignment horizontal="left" vertical="center" wrapText="1"/>
      <protection locked="0"/>
    </xf>
    <xf numFmtId="4" fontId="5" fillId="9" borderId="5" xfId="0" applyNumberFormat="1" applyFont="1" applyFill="1" applyBorder="1" applyAlignment="1" applyProtection="1">
      <alignment horizontal="left" vertical="center" wrapText="1"/>
      <protection locked="0"/>
    </xf>
    <xf numFmtId="49" fontId="9" fillId="9" borderId="3" xfId="0" applyNumberFormat="1" applyFont="1" applyFill="1" applyBorder="1" applyAlignment="1" applyProtection="1">
      <alignment horizontal="left" vertical="center" wrapText="1"/>
      <protection locked="0"/>
    </xf>
    <xf numFmtId="0" fontId="5" fillId="0" borderId="0" xfId="0" applyNumberFormat="1" applyFont="1" applyAlignment="1"/>
    <xf numFmtId="49" fontId="73"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9" fillId="12" borderId="5" xfId="0" applyNumberFormat="1" applyFont="1" applyFill="1" applyBorder="1" applyAlignment="1" applyProtection="1">
      <alignment horizontal="left" vertical="center" wrapText="1"/>
      <protection locked="0"/>
    </xf>
    <xf numFmtId="49" fontId="0" fillId="8" borderId="0" xfId="0" applyNumberFormat="1" applyFont="1" applyFill="1">
      <alignment vertical="top"/>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15" fillId="0" borderId="0" xfId="0" applyNumberFormat="1" applyFont="1" applyAlignment="1">
      <alignment vertical="center" wrapText="1"/>
    </xf>
    <xf numFmtId="0" fontId="5" fillId="0" borderId="0" xfId="0" applyNumberFormat="1" applyFont="1" applyAlignment="1">
      <alignment horizontal="center" vertical="center" wrapText="1"/>
    </xf>
    <xf numFmtId="0" fontId="14"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49" fontId="0" fillId="0" borderId="0" xfId="0" applyNumberFormat="1" applyFont="1">
      <alignment vertical="top"/>
    </xf>
    <xf numFmtId="0" fontId="27" fillId="0" borderId="0" xfId="0" applyNumberFormat="1" applyFont="1" applyAlignment="1">
      <alignment vertical="center" wrapText="1"/>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37"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49" fillId="0" borderId="0" xfId="0" applyNumberFormat="1" applyFont="1" applyAlignment="1">
      <alignmen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center" vertical="center" wrapText="1"/>
    </xf>
    <xf numFmtId="49" fontId="29" fillId="0" borderId="0" xfId="0" applyNumberFormat="1" applyFont="1" applyAlignment="1">
      <alignment vertical="center" wrapText="1"/>
    </xf>
    <xf numFmtId="49" fontId="5" fillId="0" borderId="0" xfId="0" applyNumberFormat="1" applyFont="1" applyAlignment="1">
      <alignment vertical="center" wrapText="1"/>
    </xf>
    <xf numFmtId="0" fontId="21" fillId="0" borderId="0" xfId="0" applyNumberFormat="1" applyFont="1" applyAlignment="1">
      <alignment vertical="center" wrapText="1"/>
    </xf>
    <xf numFmtId="0" fontId="5" fillId="0" borderId="0" xfId="0" applyNumberFormat="1" applyFont="1" applyAlignment="1">
      <alignment horizontal="left" vertical="center" wrapText="1"/>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0" fontId="14" fillId="0" borderId="0" xfId="0" applyNumberFormat="1" applyFont="1" applyAlignment="1">
      <alignment vertical="center" wrapText="1"/>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65" fillId="0" borderId="0" xfId="0" applyNumberFormat="1" applyFont="1" applyAlignment="1">
      <alignment vertical="center" wrapText="1"/>
    </xf>
    <xf numFmtId="0" fontId="5" fillId="0" borderId="0" xfId="0" applyNumberFormat="1" applyFont="1" applyAlignment="1">
      <alignment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5" fillId="0" borderId="0" xfId="0" applyNumberFormat="1" applyFont="1" applyAlignment="1"/>
    <xf numFmtId="0" fontId="19" fillId="0" borderId="0" xfId="0" applyNumberFormat="1" applyFont="1" applyAlignment="1">
      <alignment horizontal="center" vertical="center"/>
    </xf>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84" fillId="0" borderId="0" xfId="0" applyNumberFormat="1" applyFont="1" applyAlignment="1">
      <alignment vertical="center"/>
    </xf>
    <xf numFmtId="0" fontId="28" fillId="29" borderId="56" xfId="0" applyNumberFormat="1" applyFont="1" applyFill="1" applyBorder="1" applyAlignment="1">
      <alignment horizontal="center" vertical="center" wrapText="1"/>
    </xf>
    <xf numFmtId="0" fontId="28" fillId="29" borderId="57" xfId="0" applyNumberFormat="1" applyFont="1" applyFill="1" applyBorder="1" applyAlignment="1">
      <alignment horizontal="center" vertical="center" wrapText="1"/>
    </xf>
    <xf numFmtId="0" fontId="28" fillId="29" borderId="58" xfId="0" applyNumberFormat="1" applyFont="1" applyFill="1" applyBorder="1" applyAlignment="1">
      <alignment horizontal="center" vertical="center" wrapText="1"/>
    </xf>
    <xf numFmtId="0" fontId="28" fillId="19" borderId="29" xfId="0" applyNumberFormat="1" applyFont="1" applyFill="1" applyBorder="1" applyAlignment="1">
      <alignment horizontal="right" vertical="center" wrapText="1" indent="1"/>
    </xf>
    <xf numFmtId="0" fontId="28" fillId="19" borderId="55"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8" fillId="19" borderId="51" xfId="0" applyNumberFormat="1" applyFont="1" applyFill="1" applyBorder="1" applyAlignment="1">
      <alignment horizontal="right" vertical="center" wrapText="1" indent="1"/>
    </xf>
    <xf numFmtId="0" fontId="28" fillId="19" borderId="54"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63"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49" fontId="18" fillId="0" borderId="59"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1"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9" fillId="0" borderId="18" xfId="0" applyNumberFormat="1" applyFont="1" applyBorder="1" applyAlignment="1">
      <alignment horizontal="center" vertical="center"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29"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167" fontId="5" fillId="7" borderId="3" xfId="0" applyNumberFormat="1" applyFont="1" applyFill="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29"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5" xfId="0" applyNumberFormat="1" applyFont="1" applyBorder="1" applyAlignment="1">
      <alignment horizontal="center" vertical="center" wrapText="1"/>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9"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7"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29"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0" fontId="18" fillId="0" borderId="0" xfId="0" applyNumberFormat="1" applyFont="1" applyAlignment="1">
      <alignment horizontal="center" vertical="center" wrapText="1"/>
    </xf>
    <xf numFmtId="0" fontId="5" fillId="0" borderId="15" xfId="0" applyNumberFormat="1" applyFont="1" applyBorder="1" applyAlignment="1">
      <alignment vertical="top"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4" xfId="0" applyNumberFormat="1" applyFont="1" applyBorder="1" applyAlignment="1">
      <alignment horizontal="center" vertical="center"/>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0" fillId="7" borderId="27" xfId="0" applyNumberFormat="1" applyFont="1" applyFill="1" applyBorder="1">
      <alignment vertical="top"/>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3" xfId="0" applyNumberFormat="1" applyFont="1" applyBorder="1" applyAlignment="1">
      <alignment horizontal="left"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0" borderId="4" xfId="0" applyNumberFormat="1" applyFont="1" applyBorder="1" applyAlignment="1">
      <alignment horizontal="center" vertical="center"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0" fillId="0" borderId="27" xfId="0" applyNumberFormat="1" applyFont="1" applyBorder="1">
      <alignment vertical="top"/>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49" fontId="0" fillId="12" borderId="27" xfId="0" applyNumberFormat="1" applyFont="1" applyFill="1" applyBorder="1" applyProtection="1">
      <alignment vertical="top"/>
      <protection locked="0"/>
    </xf>
    <xf numFmtId="14" fontId="5" fillId="13" borderId="27" xfId="0" applyNumberFormat="1" applyFont="1" applyFill="1" applyBorder="1" applyAlignment="1">
      <alignment horizontal="left" vertical="center" wrapText="1" indent="1"/>
    </xf>
    <xf numFmtId="14" fontId="5" fillId="13" borderId="13" xfId="0" applyNumberFormat="1" applyFont="1" applyFill="1" applyBorder="1" applyAlignment="1">
      <alignment horizontal="left" vertical="center" wrapText="1" indent="1"/>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portal.eias.ru/Portal/DownloadPage.aspx?type=12&amp;guid=7583d110-453c-4be5-a32e-5e12a8c8a4df" TargetMode="Externa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3" Type="http://schemas.openxmlformats.org/officeDocument/2006/relationships/hyperlink" Target="https://portal.eias.ru/Portal/DownloadPage.aspx?type=12&amp;guid=1f2adff0-e3f7-4370-b8af-e03b1e3301cb" TargetMode="External"/><Relationship Id="rId2" Type="http://schemas.openxmlformats.org/officeDocument/2006/relationships/hyperlink" Target="https://portal.eias.ru/Portal/DownloadPage.aspx?type=12&amp;guid=d9418130-fff3-496f-8818-eaedec3b7097" TargetMode="External"/><Relationship Id="rId1" Type="http://schemas.openxmlformats.org/officeDocument/2006/relationships/hyperlink" Target="https://portal.eias.ru/Portal/DownloadPage.aspx?type=12&amp;guid=0ffce0a7-0b15-4d76-8fbd-7c1a873c0a68" TargetMode="External"/><Relationship Id="rId5" Type="http://schemas.openxmlformats.org/officeDocument/2006/relationships/printerSettings" Target="../printerSettings/printerSettings5.bin"/><Relationship Id="rId4" Type="http://schemas.openxmlformats.org/officeDocument/2006/relationships/hyperlink" Target="https://portal.eias.ru/Portal/DownloadPage.aspx?type=12&amp;guid=23a53916-3de3-4e69-91c6-d7951a0fab5c"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234" customWidth="1"/>
    <col min="2" max="2" width="9.140625" style="2234" customWidth="1"/>
    <col min="3" max="3" width="16.42578125" style="2234" customWidth="1"/>
    <col min="4" max="25" width="6.28515625" style="2234" customWidth="1"/>
    <col min="26" max="28" width="11" style="2234"/>
  </cols>
  <sheetData>
    <row r="1" spans="1:28" ht="15.7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25" customHeight="1">
      <c r="A2" s="1620"/>
      <c r="B2" s="1" t="s">
        <v>1</v>
      </c>
      <c r="C2" s="1"/>
      <c r="D2" s="1"/>
      <c r="E2" s="1"/>
      <c r="F2" s="1"/>
      <c r="G2" s="1"/>
      <c r="H2" s="1"/>
      <c r="I2" s="1"/>
      <c r="J2" s="1"/>
      <c r="K2" s="1"/>
      <c r="L2" s="1"/>
      <c r="M2" s="1"/>
      <c r="N2" s="1"/>
      <c r="O2" s="1"/>
      <c r="P2" s="1"/>
      <c r="Q2" s="1623"/>
      <c r="R2" s="1623"/>
      <c r="S2" s="1623"/>
      <c r="T2" s="1623"/>
      <c r="U2" s="1623"/>
      <c r="V2" s="1624"/>
      <c r="W2" s="1623"/>
      <c r="X2" s="1623"/>
      <c r="Y2" s="1621"/>
      <c r="Z2" s="1620"/>
      <c r="AA2" s="1622"/>
      <c r="AB2" s="1620"/>
    </row>
    <row r="3" spans="1:28" ht="15.75" customHeight="1">
      <c r="A3" s="1620"/>
      <c r="B3" s="2317" t="s">
        <v>2</v>
      </c>
      <c r="C3" s="2317"/>
      <c r="D3" s="2317"/>
      <c r="E3" s="2317"/>
      <c r="F3" s="2317"/>
      <c r="G3" s="2317"/>
      <c r="H3" s="2317"/>
      <c r="I3" s="2317"/>
      <c r="J3" s="2317"/>
      <c r="K3" s="2317"/>
      <c r="L3" s="2317"/>
      <c r="M3" s="2317"/>
      <c r="N3" s="2317"/>
      <c r="O3" s="2317"/>
      <c r="P3" s="2317"/>
      <c r="Q3" s="1624"/>
      <c r="R3" s="1624"/>
      <c r="S3" s="1623"/>
      <c r="T3" s="1623"/>
      <c r="U3" s="1623"/>
      <c r="V3" s="1624"/>
      <c r="W3" s="1624"/>
      <c r="X3" s="1624"/>
      <c r="Y3" s="1624"/>
      <c r="Z3" s="1620"/>
      <c r="AA3" s="1622"/>
      <c r="AB3" s="1620"/>
    </row>
    <row r="4" spans="1:28" ht="17.25" customHeight="1">
      <c r="A4" s="1620"/>
      <c r="B4" s="1625"/>
      <c r="C4" s="1620"/>
      <c r="D4" s="1624"/>
      <c r="E4" s="1624"/>
      <c r="F4" s="1624"/>
      <c r="G4" s="1624"/>
      <c r="H4" s="1624"/>
      <c r="I4" s="1624"/>
      <c r="J4" s="1624"/>
      <c r="K4" s="1624"/>
      <c r="L4" s="1624"/>
      <c r="M4" s="1624"/>
      <c r="N4" s="1624"/>
      <c r="O4" s="1624"/>
      <c r="P4" s="1624"/>
      <c r="Q4" s="1624"/>
      <c r="R4" s="1624"/>
      <c r="S4" s="1624"/>
      <c r="T4" s="1624"/>
      <c r="U4" s="1624"/>
      <c r="V4" s="1624"/>
      <c r="W4" s="1624"/>
      <c r="X4" s="1624"/>
      <c r="Y4" s="1624"/>
      <c r="Z4" s="1620"/>
      <c r="AA4" s="1622"/>
      <c r="AB4" s="1620"/>
    </row>
    <row r="5" spans="1:28" ht="22.5" customHeight="1">
      <c r="A5" s="1626"/>
      <c r="B5" s="2318"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319"/>
      <c r="D5" s="2319"/>
      <c r="E5" s="2319"/>
      <c r="F5" s="2319"/>
      <c r="G5" s="2319"/>
      <c r="H5" s="2319"/>
      <c r="I5" s="2319"/>
      <c r="J5" s="2319"/>
      <c r="K5" s="2319"/>
      <c r="L5" s="2319"/>
      <c r="M5" s="2319"/>
      <c r="N5" s="2319"/>
      <c r="O5" s="2319"/>
      <c r="P5" s="2319"/>
      <c r="Q5" s="2319"/>
      <c r="R5" s="2319"/>
      <c r="S5" s="2319"/>
      <c r="T5" s="2319"/>
      <c r="U5" s="2319"/>
      <c r="V5" s="2319"/>
      <c r="W5" s="2319"/>
      <c r="X5" s="2319"/>
      <c r="Y5" s="2320"/>
      <c r="Z5" s="1626"/>
      <c r="AA5" s="1622"/>
      <c r="AB5" s="1626"/>
    </row>
    <row r="6" spans="1:28" ht="15" customHeight="1">
      <c r="A6" s="1627"/>
      <c r="B6" s="2321" t="s">
        <v>3</v>
      </c>
      <c r="C6" s="2322"/>
      <c r="D6" s="1628"/>
      <c r="E6" s="1628"/>
      <c r="F6" s="1628"/>
      <c r="G6" s="1628"/>
      <c r="H6" s="1628"/>
      <c r="I6" s="1628"/>
      <c r="J6" s="1628"/>
      <c r="K6" s="1628"/>
      <c r="L6" s="1628"/>
      <c r="M6" s="1628"/>
      <c r="N6" s="1628"/>
      <c r="O6" s="1628"/>
      <c r="P6" s="1628"/>
      <c r="Q6" s="1628"/>
      <c r="R6" s="1628"/>
      <c r="S6" s="1628"/>
      <c r="T6" s="1628"/>
      <c r="U6" s="1628"/>
      <c r="V6" s="1628"/>
      <c r="W6" s="1628"/>
      <c r="X6" s="1628"/>
      <c r="Y6" s="1629"/>
      <c r="Z6" s="1630"/>
      <c r="AA6" s="1631"/>
      <c r="AB6" s="1631"/>
    </row>
    <row r="7" spans="1:28" ht="15" customHeight="1">
      <c r="A7" s="1627"/>
      <c r="B7" s="2321"/>
      <c r="C7" s="2322"/>
      <c r="D7" s="1628"/>
      <c r="E7" s="1628"/>
      <c r="F7" s="1632"/>
      <c r="G7" s="1632"/>
      <c r="H7" s="1632"/>
      <c r="I7" s="1632"/>
      <c r="J7" s="1632"/>
      <c r="K7" s="1632"/>
      <c r="L7" s="1632"/>
      <c r="M7" s="1632"/>
      <c r="N7" s="1632"/>
      <c r="O7" s="1628"/>
      <c r="P7" s="1632"/>
      <c r="Q7" s="1632"/>
      <c r="R7" s="1632"/>
      <c r="S7" s="1632"/>
      <c r="T7" s="1632"/>
      <c r="U7" s="1632"/>
      <c r="V7" s="1632"/>
      <c r="W7" s="1632"/>
      <c r="X7" s="1632"/>
      <c r="Y7" s="1629"/>
      <c r="Z7" s="1630"/>
      <c r="AA7" s="1631"/>
      <c r="AB7" s="1631"/>
    </row>
    <row r="8" spans="1:28" ht="15" customHeight="1">
      <c r="A8" s="1627"/>
      <c r="B8" s="2321"/>
      <c r="C8" s="2322"/>
      <c r="D8" s="1633"/>
      <c r="E8" s="1634" t="s">
        <v>4</v>
      </c>
      <c r="F8" s="2324" t="s">
        <v>5</v>
      </c>
      <c r="G8" s="2325"/>
      <c r="H8" s="2325"/>
      <c r="I8" s="2325"/>
      <c r="J8" s="2325"/>
      <c r="K8" s="2325"/>
      <c r="L8" s="2325"/>
      <c r="M8" s="2325"/>
      <c r="N8" s="1633"/>
      <c r="O8" s="1635" t="s">
        <v>4</v>
      </c>
      <c r="P8" s="2326" t="s">
        <v>6</v>
      </c>
      <c r="Q8" s="2327"/>
      <c r="R8" s="2327"/>
      <c r="S8" s="2327"/>
      <c r="T8" s="2327"/>
      <c r="U8" s="2327"/>
      <c r="V8" s="2327"/>
      <c r="W8" s="2327"/>
      <c r="X8" s="2327"/>
      <c r="Y8" s="1629"/>
      <c r="Z8" s="1630"/>
      <c r="AA8" s="1631"/>
      <c r="AB8" s="1631"/>
    </row>
    <row r="9" spans="1:28" ht="15" customHeight="1">
      <c r="A9" s="1627"/>
      <c r="B9" s="2321"/>
      <c r="C9" s="2322"/>
      <c r="D9" s="1633"/>
      <c r="E9" s="1636" t="s">
        <v>4</v>
      </c>
      <c r="F9" s="2324" t="s">
        <v>7</v>
      </c>
      <c r="G9" s="2325"/>
      <c r="H9" s="2325"/>
      <c r="I9" s="2325"/>
      <c r="J9" s="2325"/>
      <c r="K9" s="2325"/>
      <c r="L9" s="2325"/>
      <c r="M9" s="2325"/>
      <c r="N9" s="1633"/>
      <c r="O9" s="1637" t="s">
        <v>4</v>
      </c>
      <c r="P9" s="2326" t="s">
        <v>8</v>
      </c>
      <c r="Q9" s="2327"/>
      <c r="R9" s="2327"/>
      <c r="S9" s="2327"/>
      <c r="T9" s="2327"/>
      <c r="U9" s="2327"/>
      <c r="V9" s="2327"/>
      <c r="W9" s="2327"/>
      <c r="X9" s="2327"/>
      <c r="Y9" s="1629"/>
      <c r="Z9" s="1630"/>
      <c r="AA9" s="1631"/>
      <c r="AB9" s="1631"/>
    </row>
    <row r="10" spans="1:28" ht="30" customHeight="1">
      <c r="A10" s="1627"/>
      <c r="B10" s="2321"/>
      <c r="C10" s="2323"/>
      <c r="D10" s="1638"/>
      <c r="E10" s="1639"/>
      <c r="F10" s="1632"/>
      <c r="G10" s="1632"/>
      <c r="H10" s="1632"/>
      <c r="I10" s="1632"/>
      <c r="J10" s="1632"/>
      <c r="K10" s="1632"/>
      <c r="L10" s="1632"/>
      <c r="M10" s="1632"/>
      <c r="N10" s="1632"/>
      <c r="O10" s="1639"/>
      <c r="P10" s="1632"/>
      <c r="Q10" s="1632"/>
      <c r="R10" s="1632"/>
      <c r="S10" s="1632"/>
      <c r="T10" s="1632"/>
      <c r="U10" s="1632"/>
      <c r="V10" s="1632"/>
      <c r="W10" s="1632"/>
      <c r="X10" s="1632"/>
      <c r="Y10" s="1629"/>
      <c r="Z10" s="1630"/>
      <c r="AA10" s="1631"/>
      <c r="AB10" s="1631"/>
    </row>
    <row r="11" spans="1:28" ht="19.5" customHeight="1">
      <c r="A11" s="1627"/>
      <c r="B11" s="2328" t="s">
        <v>9</v>
      </c>
      <c r="C11" s="2329"/>
      <c r="D11" s="1633"/>
      <c r="E11" s="1640"/>
      <c r="F11" s="1640"/>
      <c r="G11" s="1640"/>
      <c r="H11" s="1640"/>
      <c r="I11" s="1640"/>
      <c r="J11" s="1640"/>
      <c r="K11" s="1640"/>
      <c r="L11" s="1640"/>
      <c r="M11" s="1640"/>
      <c r="N11" s="1640"/>
      <c r="O11" s="1640"/>
      <c r="P11" s="1640"/>
      <c r="Q11" s="1640"/>
      <c r="R11" s="1640"/>
      <c r="S11" s="1640"/>
      <c r="T11" s="1640"/>
      <c r="U11" s="1640"/>
      <c r="V11" s="1640"/>
      <c r="W11" s="1640"/>
      <c r="X11" s="1640"/>
      <c r="Y11" s="1629"/>
      <c r="Z11" s="1630"/>
      <c r="AA11" s="1631"/>
      <c r="AB11" s="1631"/>
    </row>
    <row r="12" spans="1:28" ht="69" customHeight="1">
      <c r="A12" s="1627"/>
      <c r="B12" s="2321"/>
      <c r="C12" s="2323"/>
      <c r="D12" s="1641"/>
      <c r="E12" s="2325" t="s">
        <v>10</v>
      </c>
      <c r="F12" s="2325"/>
      <c r="G12" s="2325"/>
      <c r="H12" s="2325"/>
      <c r="I12" s="2325"/>
      <c r="J12" s="2325"/>
      <c r="K12" s="2325"/>
      <c r="L12" s="2325"/>
      <c r="M12" s="2325"/>
      <c r="N12" s="2325"/>
      <c r="O12" s="2325"/>
      <c r="P12" s="2325"/>
      <c r="Q12" s="2325"/>
      <c r="R12" s="2325"/>
      <c r="S12" s="2325"/>
      <c r="T12" s="2325"/>
      <c r="U12" s="2325"/>
      <c r="V12" s="2325"/>
      <c r="W12" s="2325"/>
      <c r="X12" s="2325"/>
      <c r="Y12" s="1629"/>
      <c r="Z12" s="1630"/>
      <c r="AA12" s="1631"/>
      <c r="AB12" s="1631"/>
    </row>
    <row r="13" spans="1:28" ht="15" customHeight="1">
      <c r="A13" s="1627"/>
      <c r="B13" s="2328" t="s">
        <v>11</v>
      </c>
      <c r="C13" s="2329"/>
      <c r="D13" s="1628"/>
      <c r="E13" s="1640"/>
      <c r="F13" s="1640"/>
      <c r="G13" s="1640"/>
      <c r="H13" s="1640"/>
      <c r="I13" s="1640"/>
      <c r="J13" s="1640"/>
      <c r="K13" s="1640"/>
      <c r="L13" s="1640"/>
      <c r="M13" s="1640"/>
      <c r="N13" s="1640"/>
      <c r="O13" s="1640"/>
      <c r="P13" s="1640"/>
      <c r="Q13" s="1640"/>
      <c r="R13" s="1640"/>
      <c r="S13" s="1640"/>
      <c r="T13" s="1640"/>
      <c r="U13" s="1640"/>
      <c r="V13" s="1640"/>
      <c r="W13" s="1640"/>
      <c r="X13" s="1640"/>
      <c r="Y13" s="1629"/>
      <c r="Z13" s="1630"/>
      <c r="AA13" s="1631"/>
      <c r="AB13" s="1631"/>
    </row>
    <row r="14" spans="1:28" ht="57" customHeight="1">
      <c r="A14" s="1627"/>
      <c r="B14" s="2321"/>
      <c r="C14" s="2322"/>
      <c r="D14" s="1633"/>
      <c r="E14" s="2332" t="s">
        <v>12</v>
      </c>
      <c r="F14" s="2332"/>
      <c r="G14" s="2332"/>
      <c r="H14" s="2332"/>
      <c r="I14" s="2332"/>
      <c r="J14" s="2332"/>
      <c r="K14" s="2332"/>
      <c r="L14" s="2332"/>
      <c r="M14" s="2332"/>
      <c r="N14" s="2332"/>
      <c r="O14" s="2332"/>
      <c r="P14" s="2332"/>
      <c r="Q14" s="2332"/>
      <c r="R14" s="2332"/>
      <c r="S14" s="2332"/>
      <c r="T14" s="2332"/>
      <c r="U14" s="2332"/>
      <c r="V14" s="2332"/>
      <c r="W14" s="2332"/>
      <c r="X14" s="2332"/>
      <c r="Y14" s="1629"/>
      <c r="Z14" s="1630"/>
      <c r="AA14" s="1631"/>
      <c r="AB14" s="1631"/>
    </row>
    <row r="15" spans="1:28" ht="16.5" customHeight="1">
      <c r="A15" s="1627"/>
      <c r="B15" s="2330"/>
      <c r="C15" s="2331"/>
      <c r="D15" s="1642"/>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1630"/>
      <c r="AA15" s="1645"/>
      <c r="AB15" s="1631"/>
    </row>
    <row r="16" spans="1:28" ht="95.25" customHeight="1">
      <c r="A16" s="1620"/>
      <c r="B16" s="2332"/>
      <c r="C16" s="2333"/>
      <c r="D16" s="2333"/>
      <c r="E16" s="2333"/>
      <c r="F16" s="2333"/>
      <c r="G16" s="2333"/>
      <c r="H16" s="2333"/>
      <c r="I16" s="2333"/>
      <c r="J16" s="2333"/>
      <c r="K16" s="2333"/>
      <c r="L16" s="2333"/>
      <c r="M16" s="2333"/>
      <c r="N16" s="2333"/>
      <c r="O16" s="2333"/>
      <c r="P16" s="2333"/>
      <c r="Q16" s="2333"/>
      <c r="R16" s="2333"/>
      <c r="S16" s="2333"/>
      <c r="T16" s="2333"/>
      <c r="U16" s="2333"/>
      <c r="V16" s="2333"/>
      <c r="W16" s="2333"/>
      <c r="X16" s="2333"/>
      <c r="Y16" s="2333"/>
      <c r="Z16" s="1620"/>
      <c r="AA16" s="1622"/>
      <c r="AB16" s="1620"/>
    </row>
    <row r="17" spans="1:28" ht="14.25"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5"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5"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5"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5"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2236" hidden="1" customWidth="1"/>
    <col min="2" max="3" width="9.140625" style="2238" hidden="1" customWidth="1"/>
    <col min="4" max="4" width="3" style="2250" customWidth="1"/>
    <col min="5" max="5" width="6" style="2238" customWidth="1"/>
    <col min="6" max="6" width="1.7109375" style="2238" hidden="1" customWidth="1"/>
    <col min="7" max="8" width="30" style="2238" customWidth="1"/>
    <col min="9" max="9" width="8" style="2238" customWidth="1"/>
    <col min="10" max="10" width="12.140625" style="2238" customWidth="1"/>
    <col min="11" max="11" width="46" style="2238" customWidth="1"/>
    <col min="12" max="12" width="100" style="2238" customWidth="1"/>
    <col min="13" max="13" width="7" style="2247" customWidth="1"/>
    <col min="14" max="22" width="10" style="2238" customWidth="1"/>
    <col min="23" max="23" width="10.5703125" style="2238" hidden="1"/>
  </cols>
  <sheetData>
    <row r="1" spans="1:23" s="2245" customFormat="1" ht="5.25" hidden="1" customHeight="1">
      <c r="C1" s="448"/>
      <c r="D1" s="431"/>
      <c r="F1" s="448"/>
      <c r="G1" s="426" t="s">
        <v>82</v>
      </c>
      <c r="H1" s="426" t="s">
        <v>83</v>
      </c>
      <c r="I1" s="426" t="s">
        <v>84</v>
      </c>
      <c r="P1" s="426" t="s">
        <v>82</v>
      </c>
      <c r="Q1" s="426" t="s">
        <v>83</v>
      </c>
      <c r="R1" s="426" t="s">
        <v>84</v>
      </c>
      <c r="W1" s="426" t="s">
        <v>14</v>
      </c>
    </row>
    <row r="2" spans="1:23" s="2245" customFormat="1" ht="5.25" hidden="1" customHeight="1">
      <c r="C2" s="448"/>
      <c r="D2" s="431"/>
      <c r="F2" s="448"/>
      <c r="W2" s="426">
        <v>0</v>
      </c>
    </row>
    <row r="3" spans="1:23" s="2237" customFormat="1" ht="5.25" customHeight="1">
      <c r="A3" s="416"/>
      <c r="D3" s="423"/>
      <c r="E3" s="418"/>
      <c r="F3" s="418"/>
      <c r="G3" s="418"/>
      <c r="H3" s="418"/>
      <c r="I3" s="419"/>
      <c r="J3" s="420"/>
      <c r="K3" s="420"/>
      <c r="L3" s="420"/>
      <c r="W3" s="417">
        <v>5</v>
      </c>
    </row>
    <row r="4" spans="1:23" ht="23.25" customHeight="1">
      <c r="D4" s="387"/>
      <c r="E4" s="2356" t="s">
        <v>386</v>
      </c>
      <c r="F4" s="2356"/>
      <c r="G4" s="2357"/>
      <c r="H4" s="2357"/>
      <c r="I4" s="2358"/>
      <c r="J4" s="428"/>
      <c r="K4" s="390"/>
      <c r="L4" s="390"/>
      <c r="W4" s="384">
        <v>22</v>
      </c>
    </row>
    <row r="5" spans="1:23" s="2238" customFormat="1" ht="18" customHeight="1">
      <c r="A5" s="694"/>
      <c r="D5" s="753"/>
      <c r="E5" s="2447" t="str">
        <f>IF(org=0,"Не определено",org)</f>
        <v>МУП "Водоканал"</v>
      </c>
      <c r="F5" s="2447"/>
      <c r="G5" s="2448"/>
      <c r="H5" s="2448"/>
      <c r="I5" s="2449"/>
      <c r="J5" s="428"/>
      <c r="K5" s="390"/>
      <c r="L5" s="390"/>
      <c r="M5" s="444"/>
      <c r="W5" s="693">
        <v>17</v>
      </c>
    </row>
    <row r="6" spans="1:23" s="2237" customFormat="1" ht="11.45" customHeight="1">
      <c r="A6" s="416"/>
      <c r="D6" s="423"/>
      <c r="E6" s="418"/>
      <c r="F6" s="418"/>
      <c r="G6" s="421"/>
      <c r="H6" s="421"/>
      <c r="I6" s="422"/>
      <c r="J6" s="422"/>
      <c r="K6" s="689"/>
      <c r="L6" s="422"/>
      <c r="W6" s="417">
        <v>11</v>
      </c>
    </row>
    <row r="7" spans="1:23" ht="14.65" customHeight="1">
      <c r="D7" s="387"/>
      <c r="E7" s="2441" t="s">
        <v>298</v>
      </c>
      <c r="F7" s="2441"/>
      <c r="G7" s="2442"/>
      <c r="H7" s="2442"/>
      <c r="I7" s="2442"/>
      <c r="J7" s="2442"/>
      <c r="K7" s="2442"/>
      <c r="L7" s="2391" t="s">
        <v>299</v>
      </c>
      <c r="W7" s="384">
        <v>14</v>
      </c>
    </row>
    <row r="8" spans="1:23" ht="48.2" customHeight="1">
      <c r="D8" s="387"/>
      <c r="E8" s="410" t="s">
        <v>87</v>
      </c>
      <c r="F8" s="754"/>
      <c r="G8" s="402" t="s">
        <v>85</v>
      </c>
      <c r="H8" s="402" t="s">
        <v>86</v>
      </c>
      <c r="I8" s="351" t="s">
        <v>84</v>
      </c>
      <c r="J8" s="351" t="s">
        <v>387</v>
      </c>
      <c r="K8" s="351" t="s">
        <v>388</v>
      </c>
      <c r="L8" s="2391"/>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454" t="s">
        <v>389</v>
      </c>
      <c r="M10" s="444"/>
      <c r="N10" s="442"/>
      <c r="O10" s="442"/>
      <c r="P10" s="442"/>
      <c r="Q10" s="442"/>
      <c r="R10" s="442"/>
      <c r="S10" s="442"/>
      <c r="T10" s="442"/>
      <c r="U10" s="442"/>
      <c r="V10" s="442"/>
      <c r="W10" s="384">
        <v>0</v>
      </c>
    </row>
    <row r="11" spans="1:23" ht="15" hidden="1" customHeight="1">
      <c r="A11" s="2338"/>
      <c r="B11" s="441"/>
      <c r="C11" s="441"/>
      <c r="D11" s="792"/>
      <c r="E11" s="450"/>
      <c r="F11" s="450"/>
      <c r="G11" s="450"/>
      <c r="H11" s="450"/>
      <c r="I11" s="451"/>
      <c r="J11" s="452"/>
      <c r="K11" s="650"/>
      <c r="L11" s="2468"/>
      <c r="M11" s="448"/>
      <c r="N11" s="448"/>
      <c r="O11" s="448"/>
      <c r="P11" s="453"/>
      <c r="Q11" s="453"/>
      <c r="R11" s="454"/>
      <c r="S11" s="448"/>
      <c r="T11" s="448"/>
      <c r="U11" s="448"/>
      <c r="V11" s="448"/>
      <c r="W11" s="384">
        <v>0</v>
      </c>
    </row>
    <row r="12" spans="1:23" s="2237" customFormat="1" ht="15" customHeight="1">
      <c r="A12" s="2338"/>
      <c r="B12" s="441"/>
      <c r="C12" s="441"/>
      <c r="D12" s="793"/>
      <c r="E12" s="754">
        <v>1</v>
      </c>
      <c r="F12" s="791">
        <v>23</v>
      </c>
      <c r="G12" s="790"/>
      <c r="H12" s="724"/>
      <c r="I12" s="722"/>
      <c r="J12" s="457" t="s">
        <v>64</v>
      </c>
      <c r="K12" s="1083" t="s">
        <v>22</v>
      </c>
      <c r="L12" s="2468"/>
      <c r="M12" s="448"/>
      <c r="N12" s="448"/>
      <c r="O12" s="448"/>
      <c r="P12" s="453" t="s">
        <v>390</v>
      </c>
      <c r="Q12" s="453" t="s">
        <v>391</v>
      </c>
      <c r="R12" s="454" t="s">
        <v>392</v>
      </c>
      <c r="S12" s="448" t="s">
        <v>393</v>
      </c>
      <c r="T12" s="448"/>
      <c r="U12" s="448"/>
      <c r="V12" s="448"/>
      <c r="W12" s="417">
        <v>14</v>
      </c>
    </row>
    <row r="13" spans="1:23" ht="15.75" customHeight="1">
      <c r="A13" s="2338"/>
      <c r="B13" s="442"/>
      <c r="D13" s="443"/>
      <c r="E13" s="342"/>
      <c r="F13" s="466"/>
      <c r="G13" s="353" t="s">
        <v>101</v>
      </c>
      <c r="H13" s="341"/>
      <c r="I13" s="341"/>
      <c r="J13" s="341"/>
      <c r="K13" s="340"/>
      <c r="L13" s="2455"/>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81</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44" hidden="1"/>
    <col min="2" max="2" width="11" style="2244" hidden="1" customWidth="1"/>
    <col min="3" max="3" width="10.5703125" style="2244" hidden="1"/>
    <col min="4" max="4" width="11.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2" style="2244" hidden="1" customWidth="1"/>
    <col min="10" max="10" width="9.85546875" style="2244" hidden="1" customWidth="1"/>
    <col min="11" max="11" width="11.42578125" style="2244" hidden="1" customWidth="1"/>
    <col min="12" max="12" width="19.140625" style="2270" hidden="1" customWidth="1"/>
    <col min="13" max="14" width="12.28515625" style="2271" hidden="1" customWidth="1"/>
    <col min="15" max="15" width="23.42578125" style="2271" hidden="1" customWidth="1"/>
    <col min="16" max="16" width="3" style="2272" customWidth="1"/>
    <col min="17" max="18" width="3" style="2273" customWidth="1"/>
    <col min="19" max="19" width="12" style="2274" customWidth="1"/>
    <col min="20" max="20" width="35" style="2238" customWidth="1"/>
    <col min="21" max="21" width="0.140625" style="2238" customWidth="1"/>
    <col min="22" max="22" width="24.7109375" style="2238" hidden="1" customWidth="1"/>
    <col min="23" max="23" width="0.140625" style="2238" hidden="1" customWidth="1"/>
    <col min="24" max="25" width="24.7109375" style="2238" hidden="1" customWidth="1"/>
    <col min="26" max="26" width="11.7109375" style="2238" hidden="1" customWidth="1"/>
    <col min="27" max="27" width="3.7109375" style="2238" hidden="1" customWidth="1"/>
    <col min="28" max="28" width="11.7109375" style="2238" hidden="1" customWidth="1"/>
    <col min="29" max="29" width="8.5703125" style="2238" hidden="1" customWidth="1"/>
    <col min="30" max="30" width="24.7109375" style="2238" customWidth="1"/>
    <col min="31" max="31" width="0.140625" style="2238" customWidth="1"/>
    <col min="32" max="33" width="24" style="2238" customWidth="1"/>
    <col min="34" max="34" width="11" style="2238" customWidth="1"/>
    <col min="35" max="35" width="3.7109375" style="2238" customWidth="1"/>
    <col min="36" max="36" width="11" style="2238" customWidth="1"/>
    <col min="37" max="37" width="8.5703125" style="2238" hidden="1" customWidth="1"/>
    <col min="38" max="38" width="4" style="2238" customWidth="1"/>
    <col min="39" max="39" width="115" style="2238" customWidth="1"/>
    <col min="40" max="44" width="10" style="2245" customWidth="1"/>
    <col min="45" max="45" width="10.5703125" style="2238" hidden="1"/>
  </cols>
  <sheetData>
    <row r="1" spans="1:45" ht="22.5" hidden="1" customHeight="1">
      <c r="Y1" s="264"/>
      <c r="Z1" s="264"/>
      <c r="AG1" s="264"/>
      <c r="AH1" s="264"/>
      <c r="AS1" s="1074" t="s">
        <v>14</v>
      </c>
    </row>
    <row r="2" spans="1:45" ht="21" hidden="1" customHeight="1">
      <c r="A2" s="1282"/>
      <c r="B2" s="1282"/>
      <c r="C2" s="1282"/>
      <c r="D2" s="1282"/>
      <c r="E2" s="2483">
        <v>1</v>
      </c>
      <c r="F2" s="1282"/>
      <c r="G2" s="1282"/>
      <c r="H2" s="1282"/>
      <c r="I2" s="1282"/>
      <c r="J2" s="1282"/>
      <c r="K2" s="1282"/>
      <c r="L2" s="1283"/>
      <c r="M2" s="1284"/>
      <c r="N2" s="1284"/>
      <c r="O2" s="1284"/>
      <c r="P2" s="298"/>
      <c r="Q2" s="297"/>
      <c r="R2" s="292"/>
      <c r="S2" s="1228" t="e">
        <f>INDEX(PT_DIFFERENTIATION_NUM_NTAR,MATCH(A2,PT_DIFFERENTIATION_NTAR_ID,0))</f>
        <v>#N/A</v>
      </c>
      <c r="T2" s="235" t="s">
        <v>123</v>
      </c>
      <c r="U2" s="237"/>
      <c r="V2" s="2469"/>
      <c r="W2" s="2470"/>
      <c r="X2" s="2470"/>
      <c r="Y2" s="2470"/>
      <c r="Z2" s="2470"/>
      <c r="AA2" s="2470"/>
      <c r="AB2" s="2470"/>
      <c r="AC2" s="2471"/>
      <c r="AD2" s="2469" t="e">
        <f>INDEX(PT_DIFFERENTIATION_NTAR,MATCH(A2,PT_DIFFERENTIATION_NTAR_ID,0))</f>
        <v>#N/A</v>
      </c>
      <c r="AE2" s="2470"/>
      <c r="AF2" s="2470"/>
      <c r="AG2" s="2470"/>
      <c r="AH2" s="2470"/>
      <c r="AI2" s="2470"/>
      <c r="AJ2" s="2470"/>
      <c r="AK2" s="2470"/>
      <c r="AL2" s="2471"/>
      <c r="AM2" s="1177" t="s">
        <v>394</v>
      </c>
      <c r="AO2" s="437"/>
      <c r="AP2" s="437" t="str">
        <f t="shared" ref="AP2:AP15" si="0">IF(T2="","",T2)</f>
        <v>Наименование тарифа</v>
      </c>
      <c r="AQ2" s="437"/>
      <c r="AR2" s="437"/>
      <c r="AS2" s="1074">
        <v>0</v>
      </c>
    </row>
    <row r="3" spans="1:45" ht="21" hidden="1" customHeight="1">
      <c r="A3" s="1282"/>
      <c r="B3" s="1282"/>
      <c r="C3" s="1282"/>
      <c r="D3" s="1282"/>
      <c r="E3" s="2484"/>
      <c r="F3" s="2483">
        <v>1</v>
      </c>
      <c r="G3" s="1282"/>
      <c r="H3" s="1282"/>
      <c r="I3" s="1282"/>
      <c r="J3" s="1282"/>
      <c r="K3" s="1282"/>
      <c r="L3" s="1283"/>
      <c r="M3" s="1284"/>
      <c r="N3" s="1284"/>
      <c r="O3" s="1284"/>
      <c r="P3" s="1223"/>
      <c r="Q3" s="289"/>
      <c r="R3" s="290"/>
      <c r="S3" s="1228" t="e">
        <f>INDEX(PT_DIFFERENTIATION_NUM_TER,MATCH(B3,PT_DIFFERENTIATION_TER_ID,0))</f>
        <v>#N/A</v>
      </c>
      <c r="T3" s="245" t="s">
        <v>395</v>
      </c>
      <c r="U3" s="237"/>
      <c r="V3" s="2469"/>
      <c r="W3" s="2470"/>
      <c r="X3" s="2470"/>
      <c r="Y3" s="2470"/>
      <c r="Z3" s="2470"/>
      <c r="AA3" s="2470"/>
      <c r="AB3" s="2470"/>
      <c r="AC3" s="2471"/>
      <c r="AD3" s="2469" t="e">
        <f>INDEX(PT_DIFFERENTIATION_TER,MATCH(B3,PT_DIFFERENTIATION_TER_ID,0))</f>
        <v>#N/A</v>
      </c>
      <c r="AE3" s="2470"/>
      <c r="AF3" s="2470"/>
      <c r="AG3" s="2470"/>
      <c r="AH3" s="2470"/>
      <c r="AI3" s="2470"/>
      <c r="AJ3" s="2470"/>
      <c r="AK3" s="2470"/>
      <c r="AL3" s="2471"/>
      <c r="AM3" s="1177" t="s">
        <v>396</v>
      </c>
      <c r="AO3" s="437"/>
      <c r="AP3" s="437" t="str">
        <f t="shared" si="0"/>
        <v>Территория действия тарифа</v>
      </c>
      <c r="AQ3" s="437"/>
      <c r="AR3" s="437"/>
      <c r="AS3" s="1074">
        <v>0</v>
      </c>
    </row>
    <row r="4" spans="1:45" ht="23.25" hidden="1" customHeight="1">
      <c r="A4" s="1282"/>
      <c r="B4" s="1282"/>
      <c r="C4" s="1282"/>
      <c r="D4" s="1282"/>
      <c r="E4" s="2484"/>
      <c r="F4" s="2484"/>
      <c r="G4" s="2483">
        <v>1</v>
      </c>
      <c r="H4" s="1282"/>
      <c r="I4" s="1282"/>
      <c r="J4" s="1282"/>
      <c r="K4" s="1282"/>
      <c r="L4" s="1283"/>
      <c r="M4" s="1284"/>
      <c r="N4" s="1284"/>
      <c r="O4" s="1284"/>
      <c r="P4" s="291"/>
      <c r="Q4" s="289"/>
      <c r="R4" s="290"/>
      <c r="S4" s="1228" t="e">
        <f>INDEX(PT_DIFFERENTIATION_NUM_CS,MATCH(C4,PT_DIFFERENTIATION_CS_ID,0))</f>
        <v>#N/A</v>
      </c>
      <c r="T4" s="246" t="s">
        <v>397</v>
      </c>
      <c r="U4" s="237"/>
      <c r="V4" s="2469"/>
      <c r="W4" s="2470"/>
      <c r="X4" s="2470"/>
      <c r="Y4" s="2470"/>
      <c r="Z4" s="2470"/>
      <c r="AA4" s="2470"/>
      <c r="AB4" s="2470"/>
      <c r="AC4" s="2471"/>
      <c r="AD4" s="2469" t="e">
        <f>INDEX(PT_DIFFERENTIATION_CS,MATCH(C4,PT_DIFFERENTIATION_CS_ID,0))</f>
        <v>#N/A</v>
      </c>
      <c r="AE4" s="2470"/>
      <c r="AF4" s="2470"/>
      <c r="AG4" s="2470"/>
      <c r="AH4" s="2470"/>
      <c r="AI4" s="2470"/>
      <c r="AJ4" s="2470"/>
      <c r="AK4" s="2470"/>
      <c r="AL4" s="2471"/>
      <c r="AM4" s="1177" t="s">
        <v>398</v>
      </c>
      <c r="AO4" s="437"/>
      <c r="AP4" s="437" t="str">
        <f t="shared" si="0"/>
        <v xml:space="preserve">Наименование системы теплоснабжения </v>
      </c>
      <c r="AQ4" s="437"/>
      <c r="AR4" s="437"/>
      <c r="AS4" s="1074">
        <v>0</v>
      </c>
    </row>
    <row r="5" spans="1:45" ht="21" hidden="1" customHeight="1">
      <c r="A5" s="1282"/>
      <c r="B5" s="1282"/>
      <c r="C5" s="1282"/>
      <c r="D5" s="1282"/>
      <c r="E5" s="2484"/>
      <c r="F5" s="2484"/>
      <c r="G5" s="2484"/>
      <c r="H5" s="2483">
        <v>1</v>
      </c>
      <c r="I5" s="1282"/>
      <c r="J5" s="1282"/>
      <c r="K5" s="1282"/>
      <c r="L5" s="1283"/>
      <c r="M5" s="1284"/>
      <c r="N5" s="1284"/>
      <c r="O5" s="1284"/>
      <c r="P5" s="291"/>
      <c r="Q5" s="289"/>
      <c r="R5" s="290"/>
      <c r="S5" s="1228" t="e">
        <f>INDEX(PT_DIFFERENTIATION_NUM_IST_TE,MATCH(D5,PT_DIFFERENTIATION_IST_TE_ID,0))</f>
        <v>#N/A</v>
      </c>
      <c r="T5" s="247" t="s">
        <v>399</v>
      </c>
      <c r="U5" s="237"/>
      <c r="V5" s="2469"/>
      <c r="W5" s="2470"/>
      <c r="X5" s="2470"/>
      <c r="Y5" s="2470"/>
      <c r="Z5" s="2470"/>
      <c r="AA5" s="2470"/>
      <c r="AB5" s="2470"/>
      <c r="AC5" s="2471"/>
      <c r="AD5" s="2469" t="e">
        <f>INDEX(PT_DIFFERENTIATION_IST_TE,MATCH(D5,PT_DIFFERENTIATION_IST_TE_ID,0))</f>
        <v>#N/A</v>
      </c>
      <c r="AE5" s="2470"/>
      <c r="AF5" s="2470"/>
      <c r="AG5" s="2470"/>
      <c r="AH5" s="2470"/>
      <c r="AI5" s="2470"/>
      <c r="AJ5" s="2470"/>
      <c r="AK5" s="2470"/>
      <c r="AL5" s="2471"/>
      <c r="AM5" s="1177" t="s">
        <v>400</v>
      </c>
      <c r="AO5" s="437"/>
      <c r="AP5" s="437" t="str">
        <f t="shared" si="0"/>
        <v xml:space="preserve">Источник тепловой энергии  </v>
      </c>
      <c r="AQ5" s="437"/>
      <c r="AR5" s="437"/>
      <c r="AS5" s="1074">
        <v>0</v>
      </c>
    </row>
    <row r="6" spans="1:45" ht="47.25" hidden="1" customHeight="1">
      <c r="A6" s="1282"/>
      <c r="B6" s="1282"/>
      <c r="C6" s="1282"/>
      <c r="D6" s="1282"/>
      <c r="E6" s="2484"/>
      <c r="F6" s="2484"/>
      <c r="G6" s="2484"/>
      <c r="H6" s="2484"/>
      <c r="I6" s="2481" t="e">
        <f>S5&amp;".1"</f>
        <v>#N/A</v>
      </c>
      <c r="J6" s="1282"/>
      <c r="K6" s="1282"/>
      <c r="L6" s="1283" t="s">
        <v>401</v>
      </c>
      <c r="M6" s="474"/>
      <c r="P6" s="2482">
        <v>1</v>
      </c>
      <c r="Q6" s="1224"/>
      <c r="R6" s="293"/>
      <c r="S6" s="1228" t="e">
        <f>$I6</f>
        <v>#N/A</v>
      </c>
      <c r="T6" s="222" t="s">
        <v>402</v>
      </c>
      <c r="U6" s="237"/>
      <c r="V6" s="2472"/>
      <c r="W6" s="2473"/>
      <c r="X6" s="2473"/>
      <c r="Y6" s="2473"/>
      <c r="Z6" s="2473"/>
      <c r="AA6" s="2473"/>
      <c r="AB6" s="2473"/>
      <c r="AC6" s="2474"/>
      <c r="AD6" s="2472"/>
      <c r="AE6" s="2473"/>
      <c r="AF6" s="2473"/>
      <c r="AG6" s="2473"/>
      <c r="AH6" s="2473"/>
      <c r="AI6" s="2473"/>
      <c r="AJ6" s="2473"/>
      <c r="AK6" s="2473"/>
      <c r="AL6" s="2474"/>
      <c r="AM6" s="1177" t="s">
        <v>403</v>
      </c>
      <c r="AO6" s="437"/>
      <c r="AP6" s="437" t="str">
        <f t="shared" si="0"/>
        <v>Схема подключения теплопотребляющей установки к коллектору источника тепловой энергии</v>
      </c>
      <c r="AQ6" s="437"/>
      <c r="AR6" s="437"/>
      <c r="AS6" s="1074">
        <v>0</v>
      </c>
    </row>
    <row r="7" spans="1:45" ht="21" hidden="1" customHeight="1">
      <c r="A7" s="1282"/>
      <c r="B7" s="1282"/>
      <c r="C7" s="1282"/>
      <c r="D7" s="1282"/>
      <c r="E7" s="2484"/>
      <c r="F7" s="2484"/>
      <c r="G7" s="2484"/>
      <c r="H7" s="2484"/>
      <c r="I7" s="2504"/>
      <c r="J7" s="2481" t="e">
        <f>I6&amp;".1"</f>
        <v>#N/A</v>
      </c>
      <c r="K7" s="1282"/>
      <c r="L7" s="1283" t="s">
        <v>404</v>
      </c>
      <c r="M7" s="474"/>
      <c r="N7" s="1285"/>
      <c r="P7" s="2482"/>
      <c r="Q7" s="2482">
        <v>1</v>
      </c>
      <c r="R7" s="294"/>
      <c r="S7" s="1228" t="e">
        <f>$J7</f>
        <v>#N/A</v>
      </c>
      <c r="T7" s="223" t="s">
        <v>405</v>
      </c>
      <c r="U7" s="237"/>
      <c r="V7" s="2472"/>
      <c r="W7" s="2473"/>
      <c r="X7" s="2473"/>
      <c r="Y7" s="2473"/>
      <c r="Z7" s="2473"/>
      <c r="AA7" s="2473"/>
      <c r="AB7" s="2473"/>
      <c r="AC7" s="2474"/>
      <c r="AD7" s="2472"/>
      <c r="AE7" s="2473"/>
      <c r="AF7" s="2473"/>
      <c r="AG7" s="2473"/>
      <c r="AH7" s="2473"/>
      <c r="AI7" s="2473"/>
      <c r="AJ7" s="2473"/>
      <c r="AK7" s="2473"/>
      <c r="AL7" s="2474"/>
      <c r="AM7" s="1177" t="s">
        <v>406</v>
      </c>
      <c r="AO7" s="437"/>
      <c r="AP7" s="437" t="str">
        <f t="shared" si="0"/>
        <v>Группа потребителей</v>
      </c>
      <c r="AQ7" s="437"/>
      <c r="AR7" s="437"/>
      <c r="AS7" s="1074">
        <v>0</v>
      </c>
    </row>
    <row r="8" spans="1:45" ht="21" hidden="1" customHeight="1">
      <c r="A8" s="1282"/>
      <c r="B8" s="1282"/>
      <c r="C8" s="1282"/>
      <c r="D8" s="1282"/>
      <c r="E8" s="2484"/>
      <c r="F8" s="2484"/>
      <c r="G8" s="2484"/>
      <c r="H8" s="2484"/>
      <c r="I8" s="2504"/>
      <c r="J8" s="2504"/>
      <c r="K8" s="2481" t="e">
        <f>J7&amp;".1"</f>
        <v>#N/A</v>
      </c>
      <c r="L8" s="1283" t="s">
        <v>407</v>
      </c>
      <c r="M8" s="474"/>
      <c r="N8" s="1285"/>
      <c r="O8" s="1285"/>
      <c r="P8" s="2482"/>
      <c r="Q8" s="2482"/>
      <c r="R8" s="294">
        <v>1</v>
      </c>
      <c r="S8" s="1228" t="e">
        <f>$K8</f>
        <v>#N/A</v>
      </c>
      <c r="T8" s="1266"/>
      <c r="U8" s="237"/>
      <c r="V8" s="688"/>
      <c r="W8" s="262"/>
      <c r="X8" s="688"/>
      <c r="Y8" s="1176"/>
      <c r="Z8" s="2486"/>
      <c r="AA8" s="2344" t="s">
        <v>64</v>
      </c>
      <c r="AB8" s="2486"/>
      <c r="AC8" s="2344" t="s">
        <v>64</v>
      </c>
      <c r="AD8" s="688"/>
      <c r="AE8" s="262"/>
      <c r="AF8" s="688"/>
      <c r="AG8" s="1176"/>
      <c r="AH8" s="2486"/>
      <c r="AI8" s="2344" t="s">
        <v>64</v>
      </c>
      <c r="AJ8" s="2486"/>
      <c r="AK8" s="2344" t="s">
        <v>64</v>
      </c>
      <c r="AL8" s="262"/>
      <c r="AM8" s="2478" t="s">
        <v>408</v>
      </c>
      <c r="AN8" s="448" t="e">
        <f ca="1">STRCHECKDATE(V9:AL9)</f>
        <v>#NAME?</v>
      </c>
      <c r="AO8" s="437"/>
      <c r="AP8" s="437" t="str">
        <f t="shared" si="0"/>
        <v/>
      </c>
      <c r="AQ8" s="437"/>
      <c r="AR8" s="437"/>
      <c r="AS8" s="1074">
        <v>0</v>
      </c>
    </row>
    <row r="9" spans="1:45" ht="0.75" hidden="1" customHeight="1">
      <c r="A9" s="1282"/>
      <c r="B9" s="1282"/>
      <c r="C9" s="1282"/>
      <c r="D9" s="1282"/>
      <c r="E9" s="2484"/>
      <c r="F9" s="2484"/>
      <c r="G9" s="2484"/>
      <c r="H9" s="2484"/>
      <c r="I9" s="2504"/>
      <c r="J9" s="2504"/>
      <c r="K9" s="2481"/>
      <c r="L9" s="1283"/>
      <c r="M9" s="474"/>
      <c r="N9" s="1285"/>
      <c r="O9" s="1285"/>
      <c r="P9" s="2482"/>
      <c r="Q9" s="2482"/>
      <c r="R9" s="294"/>
      <c r="S9" s="1225"/>
      <c r="T9" s="237"/>
      <c r="U9" s="237"/>
      <c r="V9" s="262"/>
      <c r="W9" s="262"/>
      <c r="X9" s="262"/>
      <c r="Y9" s="265" t="str">
        <f>Z8&amp;"-"&amp;AB8</f>
        <v>-</v>
      </c>
      <c r="Z9" s="2487"/>
      <c r="AA9" s="2344"/>
      <c r="AB9" s="2487"/>
      <c r="AC9" s="2344"/>
      <c r="AD9" s="262"/>
      <c r="AE9" s="262"/>
      <c r="AF9" s="262"/>
      <c r="AG9" s="265" t="str">
        <f>AH8&amp;"-"&amp;AJ8</f>
        <v>-</v>
      </c>
      <c r="AH9" s="2487"/>
      <c r="AI9" s="2344"/>
      <c r="AJ9" s="2487"/>
      <c r="AK9" s="2344"/>
      <c r="AL9" s="262"/>
      <c r="AM9" s="2479"/>
      <c r="AO9" s="437"/>
      <c r="AP9" s="437" t="str">
        <f t="shared" si="0"/>
        <v/>
      </c>
      <c r="AQ9" s="437"/>
      <c r="AR9" s="437"/>
      <c r="AS9" s="1074">
        <v>0</v>
      </c>
    </row>
    <row r="10" spans="1:45" ht="15" hidden="1" customHeight="1">
      <c r="A10" s="1282"/>
      <c r="B10" s="1282"/>
      <c r="C10" s="1282"/>
      <c r="D10" s="1282"/>
      <c r="E10" s="2484"/>
      <c r="F10" s="2484"/>
      <c r="G10" s="2484"/>
      <c r="H10" s="2484"/>
      <c r="I10" s="2504"/>
      <c r="J10" s="2481"/>
      <c r="K10" s="1282"/>
      <c r="L10" s="1283"/>
      <c r="M10" s="474"/>
      <c r="N10" s="1285"/>
      <c r="P10" s="2482"/>
      <c r="Q10" s="2482"/>
      <c r="R10" s="293"/>
      <c r="S10" s="1197"/>
      <c r="T10" s="225" t="s">
        <v>409</v>
      </c>
      <c r="U10" s="304"/>
      <c r="V10" s="304"/>
      <c r="W10" s="304"/>
      <c r="X10" s="304"/>
      <c r="Y10" s="304"/>
      <c r="Z10" s="304"/>
      <c r="AA10" s="304"/>
      <c r="AB10" s="304"/>
      <c r="AC10" s="304"/>
      <c r="AD10" s="304"/>
      <c r="AE10" s="304"/>
      <c r="AF10" s="304"/>
      <c r="AG10" s="304"/>
      <c r="AH10" s="304"/>
      <c r="AI10" s="304"/>
      <c r="AJ10" s="304"/>
      <c r="AK10" s="304"/>
      <c r="AL10" s="261"/>
      <c r="AM10" s="2480"/>
      <c r="AO10" s="437"/>
      <c r="AP10" s="437" t="str">
        <f t="shared" si="0"/>
        <v>Добавить вид теплоносителя (параметры теплоносителя)</v>
      </c>
      <c r="AQ10" s="437"/>
      <c r="AR10" s="437"/>
      <c r="AS10" s="1074">
        <v>0</v>
      </c>
    </row>
    <row r="11" spans="1:45" ht="15" hidden="1" customHeight="1">
      <c r="A11" s="1282"/>
      <c r="B11" s="1282"/>
      <c r="C11" s="1282"/>
      <c r="D11" s="1282"/>
      <c r="E11" s="2484"/>
      <c r="F11" s="2484"/>
      <c r="G11" s="2484"/>
      <c r="H11" s="2484"/>
      <c r="I11" s="2481"/>
      <c r="J11" s="1282"/>
      <c r="K11" s="1282"/>
      <c r="L11" s="1283"/>
      <c r="M11" s="474"/>
      <c r="P11" s="2482"/>
      <c r="Q11" s="1224"/>
      <c r="R11" s="293"/>
      <c r="S11" s="1197"/>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4">
        <v>0</v>
      </c>
    </row>
    <row r="12" spans="1:45" ht="14.25" hidden="1" customHeight="1">
      <c r="A12" s="1282"/>
      <c r="B12" s="1282"/>
      <c r="C12" s="1282"/>
      <c r="D12" s="1282"/>
      <c r="E12" s="2484"/>
      <c r="F12" s="2484"/>
      <c r="G12" s="2484"/>
      <c r="H12" s="2483"/>
      <c r="I12" s="1282"/>
      <c r="J12" s="1282"/>
      <c r="K12" s="1282"/>
      <c r="L12" s="1283"/>
      <c r="M12" s="1284"/>
      <c r="N12" s="1284"/>
      <c r="O12" s="474"/>
      <c r="P12" s="297"/>
      <c r="Q12" s="312"/>
      <c r="R12" s="292"/>
      <c r="S12" s="1197"/>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74">
        <v>0</v>
      </c>
    </row>
    <row r="13" spans="1:45" s="2245" customFormat="1" ht="0.75" hidden="1" customHeight="1">
      <c r="A13" s="1233"/>
      <c r="B13" s="1233"/>
      <c r="C13" s="1233"/>
      <c r="D13" s="1233"/>
      <c r="E13" s="2484"/>
      <c r="F13" s="2484"/>
      <c r="G13" s="2483"/>
      <c r="H13" s="1233"/>
      <c r="I13" s="1233"/>
      <c r="J13" s="1233"/>
      <c r="K13" s="1233"/>
      <c r="L13" s="1258"/>
      <c r="M13" s="1234"/>
      <c r="N13" s="1234"/>
      <c r="P13" s="1235"/>
      <c r="Q13" s="1236"/>
      <c r="R13" s="1235"/>
      <c r="S13" s="1237"/>
      <c r="T13" s="1238" t="s">
        <v>412</v>
      </c>
      <c r="U13" s="1239"/>
      <c r="V13" s="1239"/>
      <c r="W13" s="1239"/>
      <c r="X13" s="1239"/>
      <c r="Y13" s="1239"/>
      <c r="Z13" s="1239"/>
      <c r="AA13" s="1239"/>
      <c r="AB13" s="1239"/>
      <c r="AC13" s="1239"/>
      <c r="AD13" s="1239"/>
      <c r="AE13" s="1239"/>
      <c r="AF13" s="1239"/>
      <c r="AG13" s="1239"/>
      <c r="AH13" s="1239"/>
      <c r="AI13" s="1239"/>
      <c r="AJ13" s="1239"/>
      <c r="AK13" s="1239"/>
      <c r="AL13" s="1239"/>
      <c r="AM13" s="1239"/>
      <c r="AO13" s="720"/>
      <c r="AP13" s="720" t="str">
        <f t="shared" si="0"/>
        <v>Добавить источник для дифференциации</v>
      </c>
      <c r="AQ13" s="720"/>
      <c r="AR13" s="720"/>
      <c r="AS13" s="455">
        <v>0</v>
      </c>
    </row>
    <row r="14" spans="1:45" s="2245" customFormat="1" ht="0.75" hidden="1" customHeight="1">
      <c r="A14" s="1233"/>
      <c r="B14" s="1233"/>
      <c r="C14" s="1233"/>
      <c r="D14" s="1233"/>
      <c r="E14" s="2484"/>
      <c r="F14" s="2483"/>
      <c r="G14" s="1233"/>
      <c r="H14" s="1233"/>
      <c r="I14" s="1233"/>
      <c r="J14" s="1233"/>
      <c r="K14" s="1233"/>
      <c r="L14" s="1258"/>
      <c r="M14" s="1240"/>
      <c r="N14" s="1240"/>
      <c r="P14" s="1235"/>
      <c r="Q14" s="1236"/>
      <c r="R14" s="1235"/>
      <c r="S14" s="1241"/>
      <c r="T14" s="1242" t="s">
        <v>413</v>
      </c>
      <c r="U14" s="1243"/>
      <c r="V14" s="1243"/>
      <c r="W14" s="1243"/>
      <c r="X14" s="1243"/>
      <c r="Y14" s="1243"/>
      <c r="Z14" s="1243"/>
      <c r="AA14" s="1243"/>
      <c r="AB14" s="1243"/>
      <c r="AC14" s="1243"/>
      <c r="AD14" s="1243"/>
      <c r="AE14" s="1243"/>
      <c r="AF14" s="1243"/>
      <c r="AG14" s="1243"/>
      <c r="AH14" s="1243"/>
      <c r="AI14" s="1243"/>
      <c r="AJ14" s="1243"/>
      <c r="AK14" s="1243"/>
      <c r="AL14" s="1243"/>
      <c r="AM14" s="1243"/>
      <c r="AO14" s="720"/>
      <c r="AP14" s="720" t="str">
        <f t="shared" si="0"/>
        <v>Добавить централизованную систему для дифференциации</v>
      </c>
      <c r="AQ14" s="720"/>
      <c r="AR14" s="720"/>
      <c r="AS14" s="455">
        <v>0</v>
      </c>
    </row>
    <row r="15" spans="1:45" s="2245" customFormat="1" ht="0.75" hidden="1" customHeight="1">
      <c r="A15" s="1233"/>
      <c r="B15" s="1233"/>
      <c r="C15" s="1233"/>
      <c r="D15" s="1233"/>
      <c r="E15" s="2483"/>
      <c r="F15" s="1233"/>
      <c r="G15" s="1233"/>
      <c r="H15" s="1233"/>
      <c r="I15" s="1233"/>
      <c r="J15" s="1233"/>
      <c r="K15" s="1233"/>
      <c r="L15" s="1258"/>
      <c r="M15" s="1240"/>
      <c r="N15" s="1240"/>
      <c r="P15" s="1235"/>
      <c r="Q15" s="1236"/>
      <c r="R15" s="1235"/>
      <c r="S15" s="1241"/>
      <c r="T15" s="1244" t="s">
        <v>414</v>
      </c>
      <c r="U15" s="1243"/>
      <c r="V15" s="1243"/>
      <c r="W15" s="1243"/>
      <c r="X15" s="1243"/>
      <c r="Y15" s="1243"/>
      <c r="Z15" s="1243"/>
      <c r="AA15" s="1243"/>
      <c r="AB15" s="1243"/>
      <c r="AC15" s="1243"/>
      <c r="AD15" s="1243"/>
      <c r="AE15" s="1243"/>
      <c r="AF15" s="1243"/>
      <c r="AG15" s="1243"/>
      <c r="AH15" s="1243"/>
      <c r="AI15" s="1243"/>
      <c r="AJ15" s="1243"/>
      <c r="AK15" s="1243"/>
      <c r="AL15" s="1243"/>
      <c r="AM15" s="1243"/>
      <c r="AO15" s="720"/>
      <c r="AP15" s="720" t="str">
        <f t="shared" si="0"/>
        <v>Добавить территорию для дифференциации</v>
      </c>
      <c r="AQ15" s="720"/>
      <c r="AR15" s="720"/>
      <c r="AS15" s="455">
        <v>0</v>
      </c>
    </row>
    <row r="16" spans="1:45" ht="14.25" hidden="1" customHeight="1">
      <c r="AC16" s="264"/>
      <c r="AK16" s="264"/>
      <c r="AS16" s="1074">
        <v>0</v>
      </c>
    </row>
    <row r="17" spans="1:45" ht="14.25" hidden="1" customHeight="1">
      <c r="P17" s="1230"/>
      <c r="AD17" s="1279"/>
      <c r="AE17" s="1279"/>
      <c r="AF17" s="1279"/>
      <c r="AG17" s="1280"/>
      <c r="AH17" s="2488"/>
      <c r="AI17" s="2489" t="s">
        <v>64</v>
      </c>
      <c r="AJ17" s="2488"/>
      <c r="AK17" s="2489" t="s">
        <v>64</v>
      </c>
      <c r="AS17" s="1074">
        <v>0</v>
      </c>
    </row>
    <row r="18" spans="1:45" ht="14.25" hidden="1" customHeight="1">
      <c r="P18" s="1230"/>
      <c r="AD18" s="1279"/>
      <c r="AE18" s="1279"/>
      <c r="AF18" s="1279"/>
      <c r="AG18" s="265" t="str">
        <f>AH17&amp;"-"&amp;AJ17</f>
        <v>-</v>
      </c>
      <c r="AH18" s="2489"/>
      <c r="AI18" s="2489"/>
      <c r="AJ18" s="2489"/>
      <c r="AK18" s="2489"/>
      <c r="AS18" s="1074">
        <v>0</v>
      </c>
    </row>
    <row r="19" spans="1:45" ht="14.25" hidden="1" customHeight="1">
      <c r="P19" s="1230"/>
      <c r="AK19" s="264"/>
      <c r="AS19" s="1074">
        <v>0</v>
      </c>
    </row>
    <row r="20" spans="1:45" s="2244" customFormat="1" ht="22.5" hidden="1" customHeight="1">
      <c r="L20" s="1248"/>
      <c r="M20" s="1281"/>
      <c r="N20" s="1281"/>
      <c r="O20" s="1286" t="s">
        <v>415</v>
      </c>
      <c r="P20" s="1281"/>
      <c r="Q20" s="1290"/>
      <c r="R20" s="1290"/>
      <c r="S20" s="666"/>
      <c r="Z20" s="1286"/>
      <c r="AB20" s="1286"/>
      <c r="AC20" s="1285"/>
      <c r="AH20" s="1286"/>
      <c r="AJ20" s="1286"/>
      <c r="AK20" s="1285"/>
      <c r="AN20" s="448"/>
      <c r="AO20" s="448"/>
      <c r="AP20" s="448"/>
      <c r="AQ20" s="448"/>
      <c r="AR20" s="448"/>
      <c r="AS20" s="1079">
        <v>0</v>
      </c>
    </row>
    <row r="21" spans="1:45" s="2244" customFormat="1" ht="14.25" hidden="1" customHeight="1">
      <c r="L21" s="1248"/>
      <c r="M21" s="1281"/>
      <c r="N21" s="1281"/>
      <c r="O21" s="1281"/>
      <c r="P21" s="1281"/>
      <c r="Q21" s="1290"/>
      <c r="R21" s="1290"/>
      <c r="S21" s="666"/>
      <c r="AC21" s="1285"/>
      <c r="AK21" s="1285"/>
      <c r="AN21" s="448"/>
      <c r="AO21" s="448"/>
      <c r="AP21" s="448"/>
      <c r="AQ21" s="448"/>
      <c r="AR21" s="448"/>
      <c r="AS21" s="1079">
        <v>0</v>
      </c>
    </row>
    <row r="22" spans="1:45" s="2244" customFormat="1" ht="14.25" hidden="1" customHeight="1">
      <c r="L22" s="1248"/>
      <c r="M22" s="1281"/>
      <c r="N22" s="1281"/>
      <c r="O22" s="1283" t="s">
        <v>416</v>
      </c>
      <c r="P22" s="1281"/>
      <c r="Q22" s="1290"/>
      <c r="R22" s="1290"/>
      <c r="S22" s="666"/>
      <c r="T22" s="1079" t="s">
        <v>417</v>
      </c>
      <c r="AA22" s="123" t="s">
        <v>418</v>
      </c>
      <c r="AC22" s="123" t="s">
        <v>419</v>
      </c>
      <c r="AD22" s="1079" t="s">
        <v>417</v>
      </c>
      <c r="AI22" s="123" t="s">
        <v>420</v>
      </c>
      <c r="AK22" s="123" t="s">
        <v>419</v>
      </c>
      <c r="AN22" s="448"/>
      <c r="AO22" s="448"/>
      <c r="AP22" s="448"/>
      <c r="AQ22" s="448"/>
      <c r="AR22" s="448"/>
      <c r="AS22" s="1079">
        <v>0</v>
      </c>
    </row>
    <row r="23" spans="1:45" ht="14.25" hidden="1" customHeight="1">
      <c r="O23" s="1283"/>
      <c r="P23" s="1230"/>
      <c r="AS23" s="1074">
        <v>0</v>
      </c>
    </row>
    <row r="24" spans="1:45" ht="14.25" hidden="1" customHeight="1">
      <c r="O24" s="1283"/>
      <c r="P24" s="1230"/>
      <c r="AS24" s="1074">
        <v>0</v>
      </c>
    </row>
    <row r="25" spans="1:45" ht="14.65" customHeight="1">
      <c r="Q25" s="313"/>
      <c r="R25" s="313"/>
      <c r="S25" s="1194"/>
      <c r="T25" s="300"/>
      <c r="U25" s="300"/>
      <c r="V25" s="446"/>
      <c r="W25" s="446"/>
      <c r="X25" s="446"/>
      <c r="Y25" s="446"/>
      <c r="Z25" s="446"/>
      <c r="AA25" s="446"/>
      <c r="AB25" s="446"/>
      <c r="AC25" s="446"/>
      <c r="AD25" s="446"/>
      <c r="AE25" s="446"/>
      <c r="AF25" s="446"/>
      <c r="AG25" s="446"/>
      <c r="AH25" s="446"/>
      <c r="AI25" s="446"/>
      <c r="AJ25" s="446"/>
      <c r="AK25" s="446"/>
      <c r="AS25" s="1074">
        <v>14</v>
      </c>
    </row>
    <row r="26" spans="1:45" ht="14.65" customHeight="1">
      <c r="Q26" s="313"/>
      <c r="R26" s="313"/>
      <c r="S26" s="24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67"/>
      <c r="U26" s="2467"/>
      <c r="V26" s="2467"/>
      <c r="W26" s="2467"/>
      <c r="X26" s="2467"/>
      <c r="Y26" s="2467"/>
      <c r="Z26" s="2467"/>
      <c r="AA26" s="2467"/>
      <c r="AB26" s="2467"/>
      <c r="AC26" s="2467"/>
      <c r="AD26" s="2467"/>
      <c r="AE26" s="2467"/>
      <c r="AF26" s="2467"/>
      <c r="AG26" s="2467"/>
      <c r="AH26" s="2467"/>
      <c r="AI26" s="2467"/>
      <c r="AJ26" s="2467"/>
      <c r="AK26" s="1162"/>
      <c r="AS26" s="1074">
        <v>14</v>
      </c>
    </row>
    <row r="27" spans="1:45" ht="14.65" customHeight="1">
      <c r="Q27" s="313"/>
      <c r="R27" s="313"/>
      <c r="S27" s="2412" t="str">
        <f>IF(org=0,"Не определено",org)</f>
        <v>МУП "Водоканал"</v>
      </c>
      <c r="T27" s="2412"/>
      <c r="U27" s="2412"/>
      <c r="V27" s="2412"/>
      <c r="W27" s="2412"/>
      <c r="X27" s="2412"/>
      <c r="Y27" s="2412"/>
      <c r="Z27" s="2412"/>
      <c r="AA27" s="2412"/>
      <c r="AB27" s="2412"/>
      <c r="AC27" s="2412"/>
      <c r="AD27" s="2412"/>
      <c r="AE27" s="2412"/>
      <c r="AF27" s="2412"/>
      <c r="AG27" s="2412"/>
      <c r="AH27" s="2412"/>
      <c r="AI27" s="2412"/>
      <c r="AJ27" s="2412"/>
      <c r="AK27" s="1162"/>
      <c r="AS27" s="1074">
        <v>14</v>
      </c>
    </row>
    <row r="28" spans="1:45" ht="14.25" hidden="1" customHeight="1">
      <c r="Q28" s="313"/>
      <c r="R28" s="313"/>
      <c r="S28" s="1194"/>
      <c r="T28" s="300"/>
      <c r="U28" s="300"/>
      <c r="V28" s="259"/>
      <c r="W28" s="259"/>
      <c r="X28" s="259"/>
      <c r="Y28" s="259"/>
      <c r="Z28" s="259"/>
      <c r="AA28" s="259"/>
      <c r="AB28" s="259"/>
      <c r="AC28" s="259"/>
      <c r="AD28" s="259"/>
      <c r="AE28" s="259"/>
      <c r="AF28" s="259"/>
      <c r="AG28" s="259"/>
      <c r="AH28" s="259"/>
      <c r="AI28" s="259"/>
      <c r="AJ28" s="259"/>
      <c r="AK28" s="259"/>
      <c r="AL28" s="446"/>
      <c r="AS28" s="1074">
        <v>0</v>
      </c>
    </row>
    <row r="29" spans="1:45" s="2254" customFormat="1" ht="25.5" hidden="1" customHeight="1">
      <c r="A29" s="1287"/>
      <c r="B29" s="1287"/>
      <c r="C29" s="1287"/>
      <c r="D29" s="1287"/>
      <c r="E29" s="1287"/>
      <c r="F29" s="1287"/>
      <c r="G29" s="1287"/>
      <c r="H29" s="1287"/>
      <c r="I29" s="1287"/>
      <c r="J29" s="1287"/>
      <c r="K29" s="1287"/>
      <c r="L29" s="1288"/>
      <c r="M29" s="1287"/>
      <c r="N29" s="1287"/>
      <c r="O29" s="1287"/>
      <c r="S29" s="2475" t="s">
        <v>41</v>
      </c>
      <c r="T29" s="2475"/>
      <c r="U29" s="1291"/>
      <c r="V29" s="2476" t="str">
        <f>IF(TITLE_NAME_OR_PR_CHANGE="",IF(TITLE_NAME_OR_PR="","",TITLE_NAME_OR_PR),TITLE_NAME_OR_PR_CHANGE)</f>
        <v/>
      </c>
      <c r="W29" s="2476"/>
      <c r="X29" s="2476"/>
      <c r="Y29" s="2476"/>
      <c r="Z29" s="2476"/>
      <c r="AA29" s="2476"/>
      <c r="AB29" s="2476"/>
      <c r="AC29" s="263"/>
      <c r="AD29" s="2476" t="str">
        <f>IF(TITLE_NAME_OR_PR_CHANGE="",IF(TITLE_NAME_OR_PR="","",TITLE_NAME_OR_PR),TITLE_NAME_OR_PR_CHANGE)</f>
        <v/>
      </c>
      <c r="AE29" s="2476"/>
      <c r="AF29" s="2476"/>
      <c r="AG29" s="2476"/>
      <c r="AH29" s="2476"/>
      <c r="AI29" s="2476"/>
      <c r="AJ29" s="2476"/>
      <c r="AK29" s="263"/>
      <c r="AL29" s="263"/>
      <c r="AM29" s="217"/>
      <c r="AN29" s="305"/>
      <c r="AO29" s="305"/>
      <c r="AP29" s="305"/>
      <c r="AQ29" s="305"/>
      <c r="AR29" s="305"/>
      <c r="AS29" s="355">
        <v>0</v>
      </c>
    </row>
    <row r="30" spans="1:45" s="2254" customFormat="1" ht="18.75" hidden="1" customHeight="1">
      <c r="A30" s="1287"/>
      <c r="B30" s="1287"/>
      <c r="C30" s="1287"/>
      <c r="D30" s="1287"/>
      <c r="E30" s="1287"/>
      <c r="F30" s="1287"/>
      <c r="G30" s="1287"/>
      <c r="H30" s="1287"/>
      <c r="I30" s="1287"/>
      <c r="J30" s="1287"/>
      <c r="K30" s="1287"/>
      <c r="L30" s="1288"/>
      <c r="M30" s="1287"/>
      <c r="N30" s="1287"/>
      <c r="O30" s="1287"/>
      <c r="S30" s="2475" t="s">
        <v>421</v>
      </c>
      <c r="T30" s="2475"/>
      <c r="U30" s="1291"/>
      <c r="V30" s="2485" t="str">
        <f>IF(TITLE_DATE_PR_CHANGE="",IF(TITLE_DATE_PR="","",TITLE_DATE_PR),TITLE_DATE_PR_CHANGE)</f>
        <v/>
      </c>
      <c r="W30" s="2485"/>
      <c r="X30" s="2485"/>
      <c r="Y30" s="2485"/>
      <c r="Z30" s="2485"/>
      <c r="AA30" s="2485"/>
      <c r="AB30" s="2485"/>
      <c r="AC30" s="263"/>
      <c r="AD30" s="2485" t="str">
        <f>IF(TITLE_DATE_PR_CHANGE="",IF(TITLE_DATE_PR="","",TITLE_DATE_PR),TITLE_DATE_PR_CHANGE)</f>
        <v/>
      </c>
      <c r="AE30" s="2485"/>
      <c r="AF30" s="2485"/>
      <c r="AG30" s="2485"/>
      <c r="AH30" s="2485"/>
      <c r="AI30" s="2485"/>
      <c r="AJ30" s="2485"/>
      <c r="AK30" s="263"/>
      <c r="AL30" s="263"/>
      <c r="AM30" s="217"/>
      <c r="AN30" s="305"/>
      <c r="AO30" s="305"/>
      <c r="AP30" s="305"/>
      <c r="AQ30" s="305"/>
      <c r="AR30" s="305"/>
      <c r="AS30" s="355">
        <v>0</v>
      </c>
    </row>
    <row r="31" spans="1:45" s="2254" customFormat="1" ht="18.75" hidden="1" customHeight="1">
      <c r="A31" s="1287"/>
      <c r="B31" s="1287"/>
      <c r="C31" s="1287"/>
      <c r="D31" s="1287"/>
      <c r="E31" s="1287"/>
      <c r="F31" s="1287"/>
      <c r="G31" s="1287"/>
      <c r="H31" s="1287"/>
      <c r="I31" s="1287"/>
      <c r="J31" s="1287"/>
      <c r="K31" s="1287"/>
      <c r="L31" s="1288"/>
      <c r="M31" s="1287"/>
      <c r="N31" s="1287"/>
      <c r="O31" s="1287"/>
      <c r="S31" s="2475" t="s">
        <v>422</v>
      </c>
      <c r="T31" s="2475"/>
      <c r="U31" s="1291"/>
      <c r="V31" s="2476" t="str">
        <f>IF(TITLE_NUMBER_PR_CHANGE="",IF(TITLE_NUMBER_PR="","",TITLE_NUMBER_PR),TITLE_NUMBER_PR_CHANGE)</f>
        <v/>
      </c>
      <c r="W31" s="2476"/>
      <c r="X31" s="2476"/>
      <c r="Y31" s="2476"/>
      <c r="Z31" s="2476"/>
      <c r="AA31" s="2476"/>
      <c r="AB31" s="2476"/>
      <c r="AC31" s="263"/>
      <c r="AD31" s="2476" t="str">
        <f>IF(TITLE_NUMBER_PR_CHANGE="",IF(TITLE_NUMBER_PR="","",TITLE_NUMBER_PR),TITLE_NUMBER_PR_CHANGE)</f>
        <v/>
      </c>
      <c r="AE31" s="2476"/>
      <c r="AF31" s="2476"/>
      <c r="AG31" s="2476"/>
      <c r="AH31" s="2476"/>
      <c r="AI31" s="2476"/>
      <c r="AJ31" s="2476"/>
      <c r="AK31" s="263"/>
      <c r="AL31" s="263"/>
      <c r="AM31" s="217"/>
      <c r="AN31" s="305"/>
      <c r="AO31" s="305"/>
      <c r="AP31" s="305"/>
      <c r="AQ31" s="305"/>
      <c r="AR31" s="305"/>
      <c r="AS31" s="355">
        <v>0</v>
      </c>
    </row>
    <row r="32" spans="1:45" s="2254" customFormat="1" ht="18.75" hidden="1" customHeight="1">
      <c r="A32" s="1287"/>
      <c r="B32" s="1287"/>
      <c r="C32" s="1287"/>
      <c r="D32" s="1287"/>
      <c r="E32" s="1287"/>
      <c r="F32" s="1287"/>
      <c r="G32" s="1287"/>
      <c r="H32" s="1287"/>
      <c r="I32" s="1287"/>
      <c r="J32" s="1287"/>
      <c r="K32" s="1287"/>
      <c r="L32" s="1288"/>
      <c r="M32" s="1287"/>
      <c r="N32" s="1287"/>
      <c r="O32" s="1287"/>
      <c r="S32" s="2475" t="s">
        <v>42</v>
      </c>
      <c r="T32" s="2475"/>
      <c r="U32" s="1291"/>
      <c r="V32" s="2476" t="str">
        <f>IF(TITLE_IST_PUB_CHANGE="",IF(TITLE_IST_PUB="","",TITLE_IST_PUB),TITLE_IST_PUB_CHANGE)</f>
        <v/>
      </c>
      <c r="W32" s="2476"/>
      <c r="X32" s="2476"/>
      <c r="Y32" s="2476"/>
      <c r="Z32" s="2476"/>
      <c r="AA32" s="2476"/>
      <c r="AB32" s="2476"/>
      <c r="AC32" s="263"/>
      <c r="AD32" s="2476" t="str">
        <f>IF(TITLE_IST_PUB_CHANGE="",IF(TITLE_IST_PUB="","",TITLE_IST_PUB),TITLE_IST_PUB_CHANGE)</f>
        <v/>
      </c>
      <c r="AE32" s="2476"/>
      <c r="AF32" s="2476"/>
      <c r="AG32" s="2476"/>
      <c r="AH32" s="2476"/>
      <c r="AI32" s="2476"/>
      <c r="AJ32" s="2476"/>
      <c r="AK32" s="263"/>
      <c r="AL32" s="263"/>
      <c r="AM32" s="217"/>
      <c r="AN32" s="305"/>
      <c r="AO32" s="305"/>
      <c r="AP32" s="305"/>
      <c r="AQ32" s="305"/>
      <c r="AR32" s="305"/>
      <c r="AS32" s="355">
        <v>0</v>
      </c>
    </row>
    <row r="33" spans="1:45" ht="14.25" hidden="1" customHeight="1">
      <c r="P33" s="1247"/>
      <c r="Q33" s="313"/>
      <c r="R33" s="313"/>
      <c r="S33" s="1194"/>
      <c r="T33" s="300"/>
      <c r="U33" s="300"/>
      <c r="V33" s="259"/>
      <c r="W33" s="259"/>
      <c r="X33" s="259"/>
      <c r="Y33" s="259"/>
      <c r="Z33" s="259"/>
      <c r="AA33" s="259"/>
      <c r="AB33" s="259"/>
      <c r="AC33" s="259"/>
      <c r="AD33" s="259"/>
      <c r="AE33" s="259"/>
      <c r="AF33" s="259"/>
      <c r="AG33" s="259"/>
      <c r="AH33" s="259"/>
      <c r="AI33" s="259"/>
      <c r="AJ33" s="259"/>
      <c r="AK33" s="259"/>
      <c r="AL33" s="446"/>
      <c r="AS33" s="1074">
        <v>0</v>
      </c>
    </row>
    <row r="34" spans="1:45" s="2254" customFormat="1" ht="18.75" hidden="1" customHeight="1">
      <c r="A34" s="1287"/>
      <c r="B34" s="1287"/>
      <c r="C34" s="1287"/>
      <c r="D34" s="1287"/>
      <c r="E34" s="1287"/>
      <c r="F34" s="1287"/>
      <c r="G34" s="1287"/>
      <c r="H34" s="1287"/>
      <c r="I34" s="1287"/>
      <c r="J34" s="1287"/>
      <c r="K34" s="1287"/>
      <c r="L34" s="1288"/>
      <c r="M34" s="1287"/>
      <c r="N34" s="1287"/>
      <c r="O34" s="1287"/>
      <c r="S34" s="2475" t="s">
        <v>423</v>
      </c>
      <c r="T34" s="2475"/>
      <c r="U34" s="1291"/>
      <c r="V34" s="2485" t="str">
        <f>IF(TITLE_DATE_PR_CHANGE="",IF(TITLE_DATE_PR="","",TITLE_DATE_PR),TITLE_DATE_PR_CHANGE)</f>
        <v/>
      </c>
      <c r="W34" s="2485"/>
      <c r="X34" s="2485"/>
      <c r="Y34" s="2485"/>
      <c r="Z34" s="2485"/>
      <c r="AA34" s="2485"/>
      <c r="AB34" s="2485"/>
      <c r="AC34" s="263"/>
      <c r="AD34" s="2485" t="str">
        <f>IF(TITLE_DATE_PR_CHANGE="",IF(TITLE_DATE_PR="","",TITLE_DATE_PR),TITLE_DATE_PR_CHANGE)</f>
        <v/>
      </c>
      <c r="AE34" s="2485"/>
      <c r="AF34" s="2485"/>
      <c r="AG34" s="2485"/>
      <c r="AH34" s="2485"/>
      <c r="AI34" s="2485"/>
      <c r="AJ34" s="2485"/>
      <c r="AK34" s="263"/>
      <c r="AL34" s="263"/>
      <c r="AM34" s="217"/>
      <c r="AN34" s="305"/>
      <c r="AO34" s="305"/>
      <c r="AP34" s="305"/>
      <c r="AQ34" s="305"/>
      <c r="AR34" s="305"/>
      <c r="AS34" s="355">
        <v>0</v>
      </c>
    </row>
    <row r="35" spans="1:45" s="2254" customFormat="1" ht="18.75" hidden="1" customHeight="1">
      <c r="A35" s="1287"/>
      <c r="B35" s="1287"/>
      <c r="C35" s="1287"/>
      <c r="D35" s="1287"/>
      <c r="E35" s="1287"/>
      <c r="F35" s="1287"/>
      <c r="G35" s="1287"/>
      <c r="H35" s="1287"/>
      <c r="I35" s="1287"/>
      <c r="J35" s="1287"/>
      <c r="K35" s="1287"/>
      <c r="L35" s="1288"/>
      <c r="M35" s="1287"/>
      <c r="N35" s="1287"/>
      <c r="O35" s="1287"/>
      <c r="S35" s="2475" t="s">
        <v>424</v>
      </c>
      <c r="T35" s="2475"/>
      <c r="U35" s="1291"/>
      <c r="V35" s="2476" t="str">
        <f>IF(TITLE_NUMBER_PR_CHANGE="",IF(TITLE_NUMBER_PR="","",TITLE_NUMBER_PR),TITLE_NUMBER_PR_CHANGE)</f>
        <v/>
      </c>
      <c r="W35" s="2476"/>
      <c r="X35" s="2476"/>
      <c r="Y35" s="2476"/>
      <c r="Z35" s="2476"/>
      <c r="AA35" s="2476"/>
      <c r="AB35" s="2476"/>
      <c r="AC35" s="263"/>
      <c r="AD35" s="2476" t="str">
        <f>IF(TITLE_NUMBER_PR_CHANGE="",IF(TITLE_NUMBER_PR="","",TITLE_NUMBER_PR),TITLE_NUMBER_PR_CHANGE)</f>
        <v/>
      </c>
      <c r="AE35" s="2476"/>
      <c r="AF35" s="2476"/>
      <c r="AG35" s="2476"/>
      <c r="AH35" s="2476"/>
      <c r="AI35" s="2476"/>
      <c r="AJ35" s="2476"/>
      <c r="AK35" s="263"/>
      <c r="AL35" s="263"/>
      <c r="AM35" s="217"/>
      <c r="AN35" s="305"/>
      <c r="AO35" s="305"/>
      <c r="AP35" s="305"/>
      <c r="AQ35" s="305"/>
      <c r="AR35" s="305"/>
      <c r="AS35" s="355">
        <v>0</v>
      </c>
    </row>
    <row r="36" spans="1:45" s="2254" customFormat="1" ht="0" hidden="1" customHeight="1">
      <c r="A36" s="1287"/>
      <c r="B36" s="1287"/>
      <c r="C36" s="1287"/>
      <c r="D36" s="1287"/>
      <c r="E36" s="1287"/>
      <c r="F36" s="1287"/>
      <c r="G36" s="1287"/>
      <c r="H36" s="1287"/>
      <c r="I36" s="1287"/>
      <c r="J36" s="1287"/>
      <c r="K36" s="1287"/>
      <c r="L36" s="1288"/>
      <c r="M36" s="1287"/>
      <c r="N36" s="1287"/>
      <c r="O36" s="1287"/>
      <c r="S36" s="260"/>
      <c r="T36" s="260"/>
      <c r="U36" s="1138"/>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194"/>
      <c r="T37" s="300"/>
      <c r="U37" s="1163"/>
      <c r="V37" s="2477"/>
      <c r="W37" s="2477"/>
      <c r="X37" s="2477"/>
      <c r="Y37" s="2477"/>
      <c r="Z37" s="2477"/>
      <c r="AA37" s="2477"/>
      <c r="AB37" s="2477"/>
      <c r="AC37" s="2477"/>
      <c r="AD37" s="2477"/>
      <c r="AE37" s="2477"/>
      <c r="AF37" s="2477"/>
      <c r="AG37" s="2477"/>
      <c r="AH37" s="2477"/>
      <c r="AI37" s="2477"/>
      <c r="AJ37" s="2477"/>
      <c r="AK37" s="2477"/>
      <c r="AS37" s="1074">
        <v>14</v>
      </c>
    </row>
    <row r="38" spans="1:45" ht="14.65" customHeight="1">
      <c r="Q38" s="313"/>
      <c r="R38" s="313"/>
      <c r="S38" s="2363" t="s">
        <v>298</v>
      </c>
      <c r="T38" s="2363"/>
      <c r="U38" s="2363"/>
      <c r="V38" s="2363"/>
      <c r="W38" s="2363"/>
      <c r="X38" s="2363"/>
      <c r="Y38" s="2363"/>
      <c r="Z38" s="2363"/>
      <c r="AA38" s="2363"/>
      <c r="AB38" s="2363"/>
      <c r="AC38" s="2363"/>
      <c r="AD38" s="2363"/>
      <c r="AE38" s="2363"/>
      <c r="AF38" s="2363"/>
      <c r="AG38" s="2363"/>
      <c r="AH38" s="2363"/>
      <c r="AI38" s="2363"/>
      <c r="AJ38" s="2363"/>
      <c r="AK38" s="2363"/>
      <c r="AL38" s="2363"/>
      <c r="AM38" s="2363" t="s">
        <v>299</v>
      </c>
      <c r="AS38" s="1074">
        <v>14</v>
      </c>
    </row>
    <row r="39" spans="1:45" ht="14.65" customHeight="1">
      <c r="Q39" s="313"/>
      <c r="R39" s="313"/>
      <c r="S39" s="2491" t="s">
        <v>87</v>
      </c>
      <c r="T39" s="2442" t="s">
        <v>426</v>
      </c>
      <c r="U39" s="238"/>
      <c r="V39" s="2492" t="s">
        <v>427</v>
      </c>
      <c r="W39" s="2493"/>
      <c r="X39" s="2493"/>
      <c r="Y39" s="2493"/>
      <c r="Z39" s="2493"/>
      <c r="AA39" s="2493"/>
      <c r="AB39" s="2494"/>
      <c r="AC39" s="2495" t="s">
        <v>428</v>
      </c>
      <c r="AD39" s="2492" t="s">
        <v>427</v>
      </c>
      <c r="AE39" s="2493"/>
      <c r="AF39" s="2493"/>
      <c r="AG39" s="2493"/>
      <c r="AH39" s="2493"/>
      <c r="AI39" s="2493"/>
      <c r="AJ39" s="2494"/>
      <c r="AK39" s="2495" t="s">
        <v>429</v>
      </c>
      <c r="AL39" s="2498" t="s">
        <v>430</v>
      </c>
      <c r="AM39" s="2363"/>
      <c r="AS39" s="1074">
        <v>14</v>
      </c>
    </row>
    <row r="40" spans="1:45" ht="35.65" customHeight="1">
      <c r="Q40" s="313"/>
      <c r="R40" s="313"/>
      <c r="S40" s="2491"/>
      <c r="T40" s="2442"/>
      <c r="U40" s="955"/>
      <c r="V40" s="2411" t="s">
        <v>431</v>
      </c>
      <c r="W40" s="2501" t="s">
        <v>432</v>
      </c>
      <c r="X40" s="2335" t="s">
        <v>433</v>
      </c>
      <c r="Y40" s="2334"/>
      <c r="Z40" s="2335" t="s">
        <v>434</v>
      </c>
      <c r="AA40" s="2340"/>
      <c r="AB40" s="2334"/>
      <c r="AC40" s="2496"/>
      <c r="AD40" s="2411" t="s">
        <v>431</v>
      </c>
      <c r="AE40" s="2501" t="s">
        <v>432</v>
      </c>
      <c r="AF40" s="2335" t="s">
        <v>433</v>
      </c>
      <c r="AG40" s="2334"/>
      <c r="AH40" s="2335" t="s">
        <v>434</v>
      </c>
      <c r="AI40" s="2340"/>
      <c r="AJ40" s="2334"/>
      <c r="AK40" s="2496"/>
      <c r="AL40" s="2499"/>
      <c r="AM40" s="2363"/>
      <c r="AS40" s="1074">
        <v>34</v>
      </c>
    </row>
    <row r="41" spans="1:45" ht="35.65" customHeight="1">
      <c r="A41" s="1289"/>
      <c r="B41" s="1289" t="s">
        <v>135</v>
      </c>
      <c r="C41" s="1289" t="s">
        <v>136</v>
      </c>
      <c r="D41" s="1289" t="s">
        <v>137</v>
      </c>
      <c r="E41" s="1283" t="s">
        <v>435</v>
      </c>
      <c r="F41" s="1283" t="s">
        <v>436</v>
      </c>
      <c r="G41" s="1283" t="s">
        <v>437</v>
      </c>
      <c r="H41" s="1283" t="s">
        <v>438</v>
      </c>
      <c r="I41" s="1283" t="s">
        <v>439</v>
      </c>
      <c r="J41" s="1283" t="s">
        <v>440</v>
      </c>
      <c r="K41" s="1283" t="s">
        <v>441</v>
      </c>
      <c r="L41" s="1283" t="s">
        <v>416</v>
      </c>
      <c r="Q41" s="313"/>
      <c r="R41" s="313"/>
      <c r="S41" s="2491"/>
      <c r="T41" s="2442"/>
      <c r="U41" s="239"/>
      <c r="V41" s="2462"/>
      <c r="W41" s="2502"/>
      <c r="X41" s="1141" t="s">
        <v>442</v>
      </c>
      <c r="Y41" s="1141" t="s">
        <v>443</v>
      </c>
      <c r="Z41" s="1140" t="s">
        <v>444</v>
      </c>
      <c r="AA41" s="2451" t="s">
        <v>445</v>
      </c>
      <c r="AB41" s="2453"/>
      <c r="AC41" s="2497"/>
      <c r="AD41" s="2462"/>
      <c r="AE41" s="2502"/>
      <c r="AF41" s="1141" t="s">
        <v>442</v>
      </c>
      <c r="AG41" s="1141" t="s">
        <v>443</v>
      </c>
      <c r="AH41" s="1232" t="s">
        <v>444</v>
      </c>
      <c r="AI41" s="2451" t="s">
        <v>445</v>
      </c>
      <c r="AJ41" s="2453"/>
      <c r="AK41" s="2497"/>
      <c r="AL41" s="2500"/>
      <c r="AM41" s="2363"/>
      <c r="AS41" s="1074">
        <v>34</v>
      </c>
    </row>
    <row r="42" spans="1:45" s="2269"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108</v>
      </c>
      <c r="T42" s="1174" t="s">
        <v>109</v>
      </c>
      <c r="U42" s="1164" t="str">
        <f ca="1">OFFSET(U42,0,-1)</f>
        <v>2</v>
      </c>
      <c r="V42" s="1175">
        <f ca="1">OFFSET(V42,0,-1)+1</f>
        <v>3</v>
      </c>
      <c r="W42" s="1175"/>
      <c r="X42" s="1175">
        <f ca="1">OFFSET(X42,0,-1)+1</f>
        <v>1</v>
      </c>
      <c r="Y42" s="1175">
        <f ca="1">OFFSET(Y42,0,-1)+1</f>
        <v>2</v>
      </c>
      <c r="Z42" s="1175">
        <f ca="1">OFFSET(Z42,0,-1)+1</f>
        <v>3</v>
      </c>
      <c r="AA42" s="2490">
        <f ca="1">OFFSET(AA42,0,-1)+1</f>
        <v>4</v>
      </c>
      <c r="AB42" s="2490"/>
      <c r="AC42" s="1175">
        <f ca="1">OFFSET(AC42,0,-2)+1</f>
        <v>5</v>
      </c>
      <c r="AD42" s="1231">
        <f ca="1">OFFSET(AD42,0,-1)+1</f>
        <v>6</v>
      </c>
      <c r="AE42" s="1231"/>
      <c r="AF42" s="1231">
        <f ca="1">OFFSET(AF42,0,-1)+1</f>
        <v>1</v>
      </c>
      <c r="AG42" s="1231">
        <f ca="1">OFFSET(AG42,0,-1)+1</f>
        <v>2</v>
      </c>
      <c r="AH42" s="1231">
        <f ca="1">OFFSET(AH42,0,-1)+1</f>
        <v>3</v>
      </c>
      <c r="AI42" s="2490">
        <f ca="1">OFFSET(AI42,0,-1)+1</f>
        <v>4</v>
      </c>
      <c r="AJ42" s="2490"/>
      <c r="AK42" s="1231">
        <f ca="1">OFFSET(AK42,0,-2)+1</f>
        <v>5</v>
      </c>
      <c r="AL42" s="1164">
        <f ca="1">OFFSET(AL42,0,-1)</f>
        <v>5</v>
      </c>
      <c r="AM42" s="1175">
        <f ca="1">OFFSET(AM42,0,-1)+1</f>
        <v>6</v>
      </c>
      <c r="AN42" s="448"/>
      <c r="AO42" s="448"/>
      <c r="AP42" s="448"/>
      <c r="AQ42" s="448"/>
      <c r="AR42" s="448"/>
      <c r="AS42" s="433">
        <v>0</v>
      </c>
    </row>
    <row r="43" spans="1:45" ht="24" customHeight="1">
      <c r="A43" s="1282" t="s">
        <v>156</v>
      </c>
      <c r="B43" s="1282"/>
      <c r="C43" s="1282"/>
      <c r="D43" s="1282"/>
      <c r="E43" s="2483">
        <v>1</v>
      </c>
      <c r="F43" s="1282"/>
      <c r="G43" s="1282"/>
      <c r="H43" s="1282"/>
      <c r="I43" s="1282"/>
      <c r="J43" s="1282"/>
      <c r="K43" s="1282"/>
      <c r="L43" s="1283"/>
      <c r="M43" s="1284"/>
      <c r="N43" s="1284"/>
      <c r="O43" s="1284"/>
      <c r="P43" s="298"/>
      <c r="Q43" s="297"/>
      <c r="R43" s="292"/>
      <c r="S43" s="1143">
        <f>INDEX(PT_DIFFERENTIATION_NUM_NTAR,MATCH(A43,PT_DIFFERENTIATION_NTAR_ID,0))</f>
        <v>0</v>
      </c>
      <c r="T43" s="235" t="s">
        <v>123</v>
      </c>
      <c r="U43" s="237"/>
      <c r="V43" s="2469"/>
      <c r="W43" s="2470"/>
      <c r="X43" s="2470"/>
      <c r="Y43" s="2470"/>
      <c r="Z43" s="2470"/>
      <c r="AA43" s="2470"/>
      <c r="AB43" s="2470"/>
      <c r="AC43" s="2471"/>
      <c r="AD43" s="2469" t="str">
        <f>INDEX(PT_DIFFERENTIATION_NTAR,MATCH(A43,PT_DIFFERENTIATION_NTAR_ID,0))</f>
        <v/>
      </c>
      <c r="AE43" s="2470"/>
      <c r="AF43" s="2470"/>
      <c r="AG43" s="2470"/>
      <c r="AH43" s="2470"/>
      <c r="AI43" s="2470"/>
      <c r="AJ43" s="2470"/>
      <c r="AK43" s="2470"/>
      <c r="AL43" s="2471"/>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4">
        <v>23</v>
      </c>
    </row>
    <row r="44" spans="1:45" ht="24" customHeight="1">
      <c r="A44" s="1282" t="s">
        <v>156</v>
      </c>
      <c r="B44" s="1282" t="s">
        <v>157</v>
      </c>
      <c r="C44" s="1282"/>
      <c r="D44" s="1282"/>
      <c r="E44" s="2484"/>
      <c r="F44" s="2483">
        <v>1</v>
      </c>
      <c r="G44" s="1282"/>
      <c r="H44" s="1282"/>
      <c r="I44" s="1282"/>
      <c r="J44" s="1282"/>
      <c r="K44" s="1282"/>
      <c r="L44" s="1283"/>
      <c r="M44" s="1284"/>
      <c r="N44" s="1284"/>
      <c r="O44" s="1284"/>
      <c r="P44" s="459"/>
      <c r="Q44" s="289"/>
      <c r="R44" s="290"/>
      <c r="S44" s="1143" t="str">
        <f>INDEX(PT_DIFFERENTIATION_NUM_TER,MATCH(B44,PT_DIFFERENTIATION_TER_ID,0))</f>
        <v>.</v>
      </c>
      <c r="T44" s="245" t="s">
        <v>395</v>
      </c>
      <c r="U44" s="237"/>
      <c r="V44" s="2469"/>
      <c r="W44" s="2470"/>
      <c r="X44" s="2470"/>
      <c r="Y44" s="2470"/>
      <c r="Z44" s="2470"/>
      <c r="AA44" s="2470"/>
      <c r="AB44" s="2470"/>
      <c r="AC44" s="2471"/>
      <c r="AD44" s="2469" t="str">
        <f>INDEX(PT_DIFFERENTIATION_TER,MATCH(B44,PT_DIFFERENTIATION_TER_ID,0))</f>
        <v/>
      </c>
      <c r="AE44" s="2470"/>
      <c r="AF44" s="2470"/>
      <c r="AG44" s="2470"/>
      <c r="AH44" s="2470"/>
      <c r="AI44" s="2470"/>
      <c r="AJ44" s="2470"/>
      <c r="AK44" s="2470"/>
      <c r="AL44" s="2471"/>
      <c r="AM44" s="1177" t="s">
        <v>396</v>
      </c>
      <c r="AO44" s="437"/>
      <c r="AP44" s="437" t="str">
        <f t="shared" si="1"/>
        <v>Территория действия тарифа</v>
      </c>
      <c r="AQ44" s="437"/>
      <c r="AR44" s="437"/>
      <c r="AS44" s="1074">
        <v>23</v>
      </c>
    </row>
    <row r="45" spans="1:45" ht="24" customHeight="1">
      <c r="A45" s="1282" t="s">
        <v>156</v>
      </c>
      <c r="B45" s="1282" t="s">
        <v>157</v>
      </c>
      <c r="C45" s="1282" t="s">
        <v>158</v>
      </c>
      <c r="D45" s="1282"/>
      <c r="E45" s="2484"/>
      <c r="F45" s="2484"/>
      <c r="G45" s="2483">
        <v>1</v>
      </c>
      <c r="H45" s="1282"/>
      <c r="I45" s="1282"/>
      <c r="J45" s="1282"/>
      <c r="K45" s="1282"/>
      <c r="L45" s="1283"/>
      <c r="M45" s="1284"/>
      <c r="N45" s="1284"/>
      <c r="O45" s="1284"/>
      <c r="P45" s="291"/>
      <c r="Q45" s="289"/>
      <c r="R45" s="290"/>
      <c r="S45" s="1143" t="str">
        <f>INDEX(PT_DIFFERENTIATION_NUM_CS,MATCH(C45,PT_DIFFERENTIATION_CS_ID,0))</f>
        <v>..</v>
      </c>
      <c r="T45" s="246" t="s">
        <v>397</v>
      </c>
      <c r="U45" s="237"/>
      <c r="V45" s="2469"/>
      <c r="W45" s="2470"/>
      <c r="X45" s="2470"/>
      <c r="Y45" s="2470"/>
      <c r="Z45" s="2470"/>
      <c r="AA45" s="2470"/>
      <c r="AB45" s="2470"/>
      <c r="AC45" s="2471"/>
      <c r="AD45" s="2469" t="str">
        <f>INDEX(PT_DIFFERENTIATION_CS,MATCH(C45,PT_DIFFERENTIATION_CS_ID,0))</f>
        <v/>
      </c>
      <c r="AE45" s="2470"/>
      <c r="AF45" s="2470"/>
      <c r="AG45" s="2470"/>
      <c r="AH45" s="2470"/>
      <c r="AI45" s="2470"/>
      <c r="AJ45" s="2470"/>
      <c r="AK45" s="2470"/>
      <c r="AL45" s="2471"/>
      <c r="AM45" s="1177" t="s">
        <v>398</v>
      </c>
      <c r="AO45" s="437"/>
      <c r="AP45" s="437" t="str">
        <f t="shared" si="1"/>
        <v xml:space="preserve">Наименование системы теплоснабжения </v>
      </c>
      <c r="AQ45" s="437"/>
      <c r="AR45" s="437"/>
      <c r="AS45" s="1074">
        <v>23</v>
      </c>
    </row>
    <row r="46" spans="1:45" ht="24" customHeight="1">
      <c r="A46" s="1282" t="s">
        <v>156</v>
      </c>
      <c r="B46" s="1282" t="s">
        <v>157</v>
      </c>
      <c r="C46" s="1282" t="s">
        <v>158</v>
      </c>
      <c r="D46" s="1282" t="s">
        <v>159</v>
      </c>
      <c r="E46" s="2484"/>
      <c r="F46" s="2484"/>
      <c r="G46" s="2484"/>
      <c r="H46" s="2483">
        <v>1</v>
      </c>
      <c r="I46" s="1282"/>
      <c r="J46" s="1282"/>
      <c r="K46" s="1282"/>
      <c r="L46" s="1283"/>
      <c r="M46" s="1284"/>
      <c r="N46" s="1284"/>
      <c r="O46" s="1284"/>
      <c r="P46" s="291"/>
      <c r="Q46" s="289"/>
      <c r="R46" s="290"/>
      <c r="S46" s="1143" t="str">
        <f>INDEX(PT_DIFFERENTIATION_NUM_IST_TE,MATCH(D46,PT_DIFFERENTIATION_IST_TE_ID,0))</f>
        <v>...</v>
      </c>
      <c r="T46" s="247" t="s">
        <v>399</v>
      </c>
      <c r="U46" s="237"/>
      <c r="V46" s="2469"/>
      <c r="W46" s="2470"/>
      <c r="X46" s="2470"/>
      <c r="Y46" s="2470"/>
      <c r="Z46" s="2470"/>
      <c r="AA46" s="2470"/>
      <c r="AB46" s="2470"/>
      <c r="AC46" s="2471"/>
      <c r="AD46" s="2469" t="str">
        <f>INDEX(PT_DIFFERENTIATION_IST_TE,MATCH(D46,PT_DIFFERENTIATION_IST_TE_ID,0))</f>
        <v/>
      </c>
      <c r="AE46" s="2470"/>
      <c r="AF46" s="2470"/>
      <c r="AG46" s="2470"/>
      <c r="AH46" s="2470"/>
      <c r="AI46" s="2470"/>
      <c r="AJ46" s="2470"/>
      <c r="AK46" s="2470"/>
      <c r="AL46" s="2471"/>
      <c r="AM46" s="1177" t="s">
        <v>400</v>
      </c>
      <c r="AO46" s="437"/>
      <c r="AP46" s="437" t="str">
        <f t="shared" si="1"/>
        <v xml:space="preserve">Источник тепловой энергии  </v>
      </c>
      <c r="AQ46" s="437"/>
      <c r="AR46" s="437"/>
      <c r="AS46" s="1074">
        <v>23</v>
      </c>
    </row>
    <row r="47" spans="1:45" ht="49.5" customHeight="1">
      <c r="A47" s="1282" t="s">
        <v>156</v>
      </c>
      <c r="B47" s="1282" t="s">
        <v>157</v>
      </c>
      <c r="C47" s="1282" t="s">
        <v>158</v>
      </c>
      <c r="D47" s="1282" t="s">
        <v>159</v>
      </c>
      <c r="E47" s="2484"/>
      <c r="F47" s="2484"/>
      <c r="G47" s="2484"/>
      <c r="H47" s="2484"/>
      <c r="I47" s="2481" t="str">
        <f>S46&amp;".1"</f>
        <v>....1</v>
      </c>
      <c r="J47" s="1282"/>
      <c r="K47" s="1282"/>
      <c r="L47" s="1283" t="s">
        <v>401</v>
      </c>
      <c r="P47" s="2482">
        <v>1</v>
      </c>
      <c r="Q47" s="1139"/>
      <c r="R47" s="293"/>
      <c r="S47" s="1143" t="str">
        <f>$I47</f>
        <v>....1</v>
      </c>
      <c r="T47" s="222" t="s">
        <v>402</v>
      </c>
      <c r="U47" s="237"/>
      <c r="V47" s="2472"/>
      <c r="W47" s="2473"/>
      <c r="X47" s="2473"/>
      <c r="Y47" s="2473"/>
      <c r="Z47" s="2473"/>
      <c r="AA47" s="2473"/>
      <c r="AB47" s="2473"/>
      <c r="AC47" s="2474"/>
      <c r="AD47" s="2472"/>
      <c r="AE47" s="2473"/>
      <c r="AF47" s="2473"/>
      <c r="AG47" s="2473"/>
      <c r="AH47" s="2473"/>
      <c r="AI47" s="2473"/>
      <c r="AJ47" s="2473"/>
      <c r="AK47" s="2473"/>
      <c r="AL47" s="2474"/>
      <c r="AM47" s="1177" t="s">
        <v>403</v>
      </c>
      <c r="AO47" s="437"/>
      <c r="AP47" s="437" t="str">
        <f t="shared" si="1"/>
        <v>Схема подключения теплопотребляющей установки к коллектору источника тепловой энергии</v>
      </c>
      <c r="AQ47" s="437"/>
      <c r="AR47" s="437"/>
      <c r="AS47" s="1074">
        <v>47</v>
      </c>
    </row>
    <row r="48" spans="1:45" ht="24" customHeight="1">
      <c r="A48" s="1282" t="s">
        <v>156</v>
      </c>
      <c r="B48" s="1282" t="s">
        <v>157</v>
      </c>
      <c r="C48" s="1282" t="s">
        <v>158</v>
      </c>
      <c r="D48" s="1282" t="s">
        <v>159</v>
      </c>
      <c r="E48" s="2484"/>
      <c r="F48" s="2484"/>
      <c r="G48" s="2484"/>
      <c r="H48" s="2484"/>
      <c r="I48" s="2504"/>
      <c r="J48" s="2481" t="str">
        <f>I47&amp;".1"</f>
        <v>....1.1</v>
      </c>
      <c r="K48" s="1282"/>
      <c r="L48" s="1283" t="s">
        <v>404</v>
      </c>
      <c r="P48" s="2482"/>
      <c r="Q48" s="2482">
        <v>1</v>
      </c>
      <c r="R48" s="294"/>
      <c r="S48" s="1143" t="str">
        <f>$J48</f>
        <v>....1.1</v>
      </c>
      <c r="T48" s="223" t="s">
        <v>405</v>
      </c>
      <c r="U48" s="237"/>
      <c r="V48" s="2472"/>
      <c r="W48" s="2473"/>
      <c r="X48" s="2473"/>
      <c r="Y48" s="2473"/>
      <c r="Z48" s="2473"/>
      <c r="AA48" s="2473"/>
      <c r="AB48" s="2473"/>
      <c r="AC48" s="2474"/>
      <c r="AD48" s="2472"/>
      <c r="AE48" s="2473"/>
      <c r="AF48" s="2473"/>
      <c r="AG48" s="2473"/>
      <c r="AH48" s="2473"/>
      <c r="AI48" s="2473"/>
      <c r="AJ48" s="2473"/>
      <c r="AK48" s="2473"/>
      <c r="AL48" s="2474"/>
      <c r="AM48" s="1177" t="s">
        <v>406</v>
      </c>
      <c r="AO48" s="437"/>
      <c r="AP48" s="437" t="str">
        <f t="shared" si="1"/>
        <v>Группа потребителей</v>
      </c>
      <c r="AQ48" s="437"/>
      <c r="AR48" s="437"/>
      <c r="AS48" s="1074">
        <v>23</v>
      </c>
    </row>
    <row r="49" spans="1:45" ht="24" customHeight="1">
      <c r="A49" s="1282" t="s">
        <v>156</v>
      </c>
      <c r="B49" s="1282" t="s">
        <v>157</v>
      </c>
      <c r="C49" s="1282" t="s">
        <v>158</v>
      </c>
      <c r="D49" s="1282" t="s">
        <v>159</v>
      </c>
      <c r="E49" s="2484"/>
      <c r="F49" s="2484"/>
      <c r="G49" s="2484"/>
      <c r="H49" s="2484"/>
      <c r="I49" s="2504"/>
      <c r="J49" s="2504"/>
      <c r="K49" s="2481" t="str">
        <f>J48&amp;".1"</f>
        <v>....1.1.1</v>
      </c>
      <c r="L49" s="1283" t="s">
        <v>407</v>
      </c>
      <c r="P49" s="2482"/>
      <c r="Q49" s="2482"/>
      <c r="R49" s="294">
        <v>1</v>
      </c>
      <c r="S49" s="1143" t="str">
        <f>$K49</f>
        <v>....1.1.1</v>
      </c>
      <c r="T49" s="1266"/>
      <c r="U49" s="237"/>
      <c r="V49" s="688"/>
      <c r="W49" s="262"/>
      <c r="X49" s="688"/>
      <c r="Y49" s="1176"/>
      <c r="Z49" s="2486"/>
      <c r="AA49" s="2344" t="s">
        <v>64</v>
      </c>
      <c r="AB49" s="2486"/>
      <c r="AC49" s="2344" t="s">
        <v>64</v>
      </c>
      <c r="AD49" s="688"/>
      <c r="AE49" s="262"/>
      <c r="AF49" s="688"/>
      <c r="AG49" s="1176"/>
      <c r="AH49" s="2486"/>
      <c r="AI49" s="2344" t="s">
        <v>64</v>
      </c>
      <c r="AJ49" s="2505"/>
      <c r="AK49" s="2344" t="s">
        <v>64</v>
      </c>
      <c r="AL49" s="1267"/>
      <c r="AM49" s="2478" t="s">
        <v>408</v>
      </c>
      <c r="AN49" s="448" t="e">
        <f ca="1">STRCHECKDATE(V50:AL50)</f>
        <v>#NAME?</v>
      </c>
      <c r="AO49" s="437"/>
      <c r="AP49" s="437" t="str">
        <f t="shared" si="1"/>
        <v/>
      </c>
      <c r="AQ49" s="437"/>
      <c r="AR49" s="437"/>
      <c r="AS49" s="1074">
        <v>23</v>
      </c>
    </row>
    <row r="50" spans="1:45" ht="1.1499999999999999" customHeight="1">
      <c r="A50" s="1282" t="s">
        <v>156</v>
      </c>
      <c r="B50" s="1282" t="s">
        <v>157</v>
      </c>
      <c r="C50" s="1282" t="s">
        <v>158</v>
      </c>
      <c r="D50" s="1282" t="s">
        <v>159</v>
      </c>
      <c r="E50" s="2484"/>
      <c r="F50" s="2484"/>
      <c r="G50" s="2484"/>
      <c r="H50" s="2484"/>
      <c r="I50" s="2504"/>
      <c r="J50" s="2504"/>
      <c r="K50" s="2481"/>
      <c r="L50" s="1283"/>
      <c r="P50" s="2482"/>
      <c r="Q50" s="2482"/>
      <c r="R50" s="294"/>
      <c r="S50" s="1142"/>
      <c r="T50" s="237"/>
      <c r="U50" s="237"/>
      <c r="V50" s="262"/>
      <c r="W50" s="262"/>
      <c r="X50" s="262"/>
      <c r="Y50" s="265" t="str">
        <f>Z49&amp;"-"&amp;AB49</f>
        <v>-</v>
      </c>
      <c r="Z50" s="2487"/>
      <c r="AA50" s="2344"/>
      <c r="AB50" s="2487"/>
      <c r="AC50" s="2344"/>
      <c r="AD50" s="262"/>
      <c r="AE50" s="262"/>
      <c r="AF50" s="262"/>
      <c r="AG50" s="265" t="str">
        <f>AH49&amp;"-"&amp;AJ49</f>
        <v>-</v>
      </c>
      <c r="AH50" s="2487"/>
      <c r="AI50" s="2344"/>
      <c r="AJ50" s="2506"/>
      <c r="AK50" s="2344"/>
      <c r="AL50" s="1268"/>
      <c r="AM50" s="2479"/>
      <c r="AO50" s="437"/>
      <c r="AP50" s="437" t="str">
        <f t="shared" si="1"/>
        <v/>
      </c>
      <c r="AQ50" s="437"/>
      <c r="AR50" s="437"/>
      <c r="AS50" s="1074">
        <v>1</v>
      </c>
    </row>
    <row r="51" spans="1:45" ht="11.45" customHeight="1">
      <c r="A51" s="1282" t="s">
        <v>156</v>
      </c>
      <c r="B51" s="1282" t="s">
        <v>157</v>
      </c>
      <c r="C51" s="1282" t="s">
        <v>158</v>
      </c>
      <c r="D51" s="1282" t="s">
        <v>159</v>
      </c>
      <c r="E51" s="2484"/>
      <c r="F51" s="2484"/>
      <c r="G51" s="2484"/>
      <c r="H51" s="2484"/>
      <c r="I51" s="2504"/>
      <c r="J51" s="2481"/>
      <c r="K51" s="1282"/>
      <c r="L51" s="1283"/>
      <c r="P51" s="2482"/>
      <c r="Q51" s="2482"/>
      <c r="R51" s="293"/>
      <c r="S51" s="1197"/>
      <c r="T51" s="225" t="s">
        <v>409</v>
      </c>
      <c r="U51" s="304"/>
      <c r="V51" s="304"/>
      <c r="W51" s="304"/>
      <c r="X51" s="304"/>
      <c r="Y51" s="304"/>
      <c r="Z51" s="304"/>
      <c r="AA51" s="304"/>
      <c r="AB51" s="304"/>
      <c r="AC51" s="304"/>
      <c r="AD51" s="304"/>
      <c r="AE51" s="304"/>
      <c r="AF51" s="304"/>
      <c r="AG51" s="304"/>
      <c r="AH51" s="304"/>
      <c r="AI51" s="304"/>
      <c r="AJ51" s="304"/>
      <c r="AK51" s="304"/>
      <c r="AL51" s="261"/>
      <c r="AM51" s="2480"/>
      <c r="AO51" s="437"/>
      <c r="AP51" s="437" t="str">
        <f t="shared" si="1"/>
        <v>Добавить вид теплоносителя (параметры теплоносителя)</v>
      </c>
      <c r="AQ51" s="437"/>
      <c r="AR51" s="437"/>
      <c r="AS51" s="1074">
        <v>11</v>
      </c>
    </row>
    <row r="52" spans="1:45" ht="11.45" customHeight="1">
      <c r="A52" s="1282" t="s">
        <v>156</v>
      </c>
      <c r="B52" s="1282" t="s">
        <v>157</v>
      </c>
      <c r="C52" s="1282" t="s">
        <v>158</v>
      </c>
      <c r="D52" s="1282" t="s">
        <v>159</v>
      </c>
      <c r="E52" s="2484"/>
      <c r="F52" s="2484"/>
      <c r="G52" s="2484"/>
      <c r="H52" s="2484"/>
      <c r="I52" s="2481"/>
      <c r="J52" s="1282"/>
      <c r="K52" s="1282"/>
      <c r="L52" s="1283"/>
      <c r="P52" s="2482"/>
      <c r="Q52" s="1139"/>
      <c r="R52" s="293"/>
      <c r="S52" s="1197"/>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4">
        <v>11</v>
      </c>
    </row>
    <row r="53" spans="1:45" ht="14.65" customHeight="1">
      <c r="A53" s="1282" t="s">
        <v>156</v>
      </c>
      <c r="B53" s="1282" t="s">
        <v>157</v>
      </c>
      <c r="C53" s="1282" t="s">
        <v>158</v>
      </c>
      <c r="D53" s="1282" t="s">
        <v>159</v>
      </c>
      <c r="E53" s="2484"/>
      <c r="F53" s="2484"/>
      <c r="G53" s="2484"/>
      <c r="H53" s="2483"/>
      <c r="I53" s="1282"/>
      <c r="J53" s="1282"/>
      <c r="K53" s="1282"/>
      <c r="L53" s="1283"/>
      <c r="M53" s="1284"/>
      <c r="N53" s="1284"/>
      <c r="O53" s="474"/>
      <c r="P53" s="297"/>
      <c r="Q53" s="312"/>
      <c r="R53" s="292"/>
      <c r="S53" s="1197"/>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74">
        <v>14</v>
      </c>
    </row>
    <row r="54" spans="1:45" s="2245" customFormat="1" ht="1.1499999999999999" customHeight="1">
      <c r="A54" s="1262" t="s">
        <v>156</v>
      </c>
      <c r="B54" s="1262" t="s">
        <v>157</v>
      </c>
      <c r="C54" s="1262" t="s">
        <v>158</v>
      </c>
      <c r="D54" s="1233"/>
      <c r="E54" s="2484"/>
      <c r="F54" s="2484"/>
      <c r="G54" s="2483"/>
      <c r="H54" s="1233"/>
      <c r="I54" s="1233"/>
      <c r="J54" s="1233"/>
      <c r="K54" s="1233"/>
      <c r="L54" s="1258"/>
      <c r="M54" s="1234"/>
      <c r="N54" s="1234"/>
      <c r="P54" s="1235"/>
      <c r="Q54" s="1236"/>
      <c r="R54" s="1235"/>
      <c r="S54" s="1241"/>
      <c r="T54" s="1244" t="s">
        <v>412</v>
      </c>
      <c r="U54" s="1243"/>
      <c r="V54" s="1243"/>
      <c r="W54" s="1243"/>
      <c r="X54" s="1243"/>
      <c r="Y54" s="1243"/>
      <c r="Z54" s="1243"/>
      <c r="AA54" s="1243"/>
      <c r="AB54" s="1243"/>
      <c r="AC54" s="1243"/>
      <c r="AD54" s="1243"/>
      <c r="AE54" s="1243"/>
      <c r="AF54" s="1243"/>
      <c r="AG54" s="1243"/>
      <c r="AH54" s="1243"/>
      <c r="AI54" s="1243"/>
      <c r="AJ54" s="1243"/>
      <c r="AK54" s="1243"/>
      <c r="AL54" s="1243"/>
      <c r="AM54" s="1243"/>
      <c r="AO54" s="720"/>
      <c r="AP54" s="720" t="str">
        <f t="shared" si="1"/>
        <v>Добавить источник для дифференциации</v>
      </c>
      <c r="AQ54" s="720"/>
      <c r="AR54" s="720"/>
      <c r="AS54" s="455">
        <v>1</v>
      </c>
    </row>
    <row r="55" spans="1:45" s="2245" customFormat="1" ht="1.1499999999999999" customHeight="1">
      <c r="A55" s="1262" t="s">
        <v>156</v>
      </c>
      <c r="B55" s="1262" t="s">
        <v>157</v>
      </c>
      <c r="C55" s="1233"/>
      <c r="D55" s="1233"/>
      <c r="E55" s="2484"/>
      <c r="F55" s="2483"/>
      <c r="G55" s="1233"/>
      <c r="H55" s="1233"/>
      <c r="I55" s="1233"/>
      <c r="J55" s="1233"/>
      <c r="K55" s="1233"/>
      <c r="L55" s="1258"/>
      <c r="M55" s="1240"/>
      <c r="N55" s="1240"/>
      <c r="P55" s="1235"/>
      <c r="Q55" s="1236"/>
      <c r="R55" s="1235"/>
      <c r="S55" s="1241"/>
      <c r="T55" s="1244" t="s">
        <v>413</v>
      </c>
      <c r="U55" s="1243"/>
      <c r="V55" s="1243"/>
      <c r="W55" s="1243"/>
      <c r="X55" s="1243"/>
      <c r="Y55" s="1243"/>
      <c r="Z55" s="1243"/>
      <c r="AA55" s="1243"/>
      <c r="AB55" s="1243"/>
      <c r="AC55" s="1243"/>
      <c r="AD55" s="1243"/>
      <c r="AE55" s="1243"/>
      <c r="AF55" s="1243"/>
      <c r="AG55" s="1243"/>
      <c r="AH55" s="1243"/>
      <c r="AI55" s="1243"/>
      <c r="AJ55" s="1243"/>
      <c r="AK55" s="1243"/>
      <c r="AL55" s="1243"/>
      <c r="AM55" s="1243"/>
      <c r="AO55" s="720"/>
      <c r="AP55" s="720" t="str">
        <f t="shared" si="1"/>
        <v>Добавить централизованную систему для дифференциации</v>
      </c>
      <c r="AQ55" s="720"/>
      <c r="AR55" s="720"/>
      <c r="AS55" s="455">
        <v>1</v>
      </c>
    </row>
    <row r="56" spans="1:45" s="2245" customFormat="1" ht="1.1499999999999999" customHeight="1">
      <c r="A56" s="1262" t="s">
        <v>156</v>
      </c>
      <c r="B56" s="1262"/>
      <c r="C56" s="1262"/>
      <c r="D56" s="1262"/>
      <c r="E56" s="2483"/>
      <c r="F56" s="1262"/>
      <c r="G56" s="1262"/>
      <c r="H56" s="1262"/>
      <c r="I56" s="1262"/>
      <c r="J56" s="1262"/>
      <c r="K56" s="1262"/>
      <c r="L56" s="1265"/>
      <c r="M56" s="1240"/>
      <c r="N56" s="1240"/>
      <c r="O56" s="455"/>
      <c r="P56" s="317"/>
      <c r="Q56" s="1263"/>
      <c r="R56" s="317"/>
      <c r="S56" s="1241"/>
      <c r="T56" s="1244" t="s">
        <v>414</v>
      </c>
      <c r="U56" s="1243"/>
      <c r="V56" s="1243"/>
      <c r="W56" s="1243"/>
      <c r="X56" s="1243"/>
      <c r="Y56" s="1243"/>
      <c r="Z56" s="1243"/>
      <c r="AA56" s="1243"/>
      <c r="AB56" s="1243"/>
      <c r="AC56" s="1243"/>
      <c r="AD56" s="1243"/>
      <c r="AE56" s="1243"/>
      <c r="AF56" s="1243"/>
      <c r="AG56" s="1243"/>
      <c r="AH56" s="1243"/>
      <c r="AI56" s="1243"/>
      <c r="AJ56" s="1243"/>
      <c r="AK56" s="1243"/>
      <c r="AL56" s="1243"/>
      <c r="AM56" s="1243"/>
      <c r="AO56" s="437"/>
      <c r="AP56" s="437" t="str">
        <f t="shared" si="1"/>
        <v>Добавить территорию для дифференциации</v>
      </c>
      <c r="AQ56" s="437"/>
      <c r="AR56" s="437"/>
      <c r="AS56" s="448">
        <v>1</v>
      </c>
    </row>
    <row r="57" spans="1:45" s="224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446</v>
      </c>
      <c r="U57" s="1243"/>
      <c r="V57" s="1243"/>
      <c r="W57" s="1243"/>
      <c r="X57" s="1243"/>
      <c r="Y57" s="1243"/>
      <c r="Z57" s="1243"/>
      <c r="AA57" s="1243"/>
      <c r="AB57" s="1243"/>
      <c r="AC57" s="1243"/>
      <c r="AD57" s="1243"/>
      <c r="AE57" s="1243"/>
      <c r="AF57" s="1243"/>
      <c r="AG57" s="1243"/>
      <c r="AH57" s="1243"/>
      <c r="AI57" s="1243"/>
      <c r="AJ57" s="1243"/>
      <c r="AK57" s="1243"/>
      <c r="AL57" s="1243"/>
      <c r="AM57" s="1243"/>
      <c r="AO57" s="720"/>
      <c r="AP57" s="720" t="str">
        <f t="shared" si="1"/>
        <v>Добавить наименование тарифа</v>
      </c>
      <c r="AQ57" s="720"/>
      <c r="AR57" s="720"/>
      <c r="AS57" s="455">
        <v>1</v>
      </c>
    </row>
    <row r="58" spans="1:45" ht="11.45" customHeight="1">
      <c r="M58" s="1079"/>
      <c r="N58" s="1079"/>
      <c r="O58" s="474"/>
      <c r="P58" s="1074"/>
      <c r="Q58" s="1074"/>
      <c r="R58" s="1074"/>
      <c r="S58" s="1074"/>
      <c r="AN58" s="1074"/>
      <c r="AO58" s="1074"/>
      <c r="AP58" s="1074"/>
      <c r="AQ58" s="1074"/>
      <c r="AR58" s="1074"/>
      <c r="AS58" s="1074">
        <v>11</v>
      </c>
    </row>
    <row r="59" spans="1:45" ht="28.5" customHeight="1">
      <c r="O59" s="474"/>
      <c r="S59" s="1172"/>
      <c r="T59" s="2503"/>
      <c r="U59" s="2503"/>
      <c r="V59" s="2503"/>
      <c r="W59" s="2503"/>
      <c r="X59" s="2503"/>
      <c r="Y59" s="2503"/>
      <c r="Z59" s="2503"/>
      <c r="AA59" s="2503"/>
      <c r="AB59" s="2503"/>
      <c r="AC59" s="2503"/>
      <c r="AD59" s="2503"/>
      <c r="AE59" s="2503"/>
      <c r="AF59" s="2503"/>
      <c r="AG59" s="2503"/>
      <c r="AH59" s="2503"/>
      <c r="AI59" s="2503"/>
      <c r="AJ59" s="2503"/>
      <c r="AK59" s="2503"/>
      <c r="AL59" s="2503"/>
      <c r="AM59" s="2503"/>
      <c r="AS59" s="1074">
        <v>27</v>
      </c>
    </row>
    <row r="60" spans="1:45" ht="67.150000000000006" customHeight="1">
      <c r="O60" s="474"/>
      <c r="P60" s="1222"/>
      <c r="T60" s="2503"/>
      <c r="U60" s="2503"/>
      <c r="V60" s="2503"/>
      <c r="W60" s="2503"/>
      <c r="X60" s="2503"/>
      <c r="Y60" s="2503"/>
      <c r="Z60" s="2503"/>
      <c r="AA60" s="2503"/>
      <c r="AB60" s="2503"/>
      <c r="AC60" s="2503"/>
      <c r="AD60" s="2503"/>
      <c r="AE60" s="2503"/>
      <c r="AF60" s="2503"/>
      <c r="AG60" s="2503"/>
      <c r="AH60" s="2503"/>
      <c r="AI60" s="2503"/>
      <c r="AJ60" s="2503"/>
      <c r="AK60" s="2503"/>
      <c r="AL60" s="2503"/>
      <c r="AM60" s="2503"/>
      <c r="AS60" s="1074">
        <v>64</v>
      </c>
    </row>
    <row r="61" spans="1:45" ht="14.65" customHeight="1">
      <c r="O61" s="474"/>
      <c r="AS61" s="1074">
        <v>14</v>
      </c>
    </row>
    <row r="62" spans="1:45" ht="18.75" customHeight="1">
      <c r="O62" s="474"/>
      <c r="P62" s="1247"/>
      <c r="S62" s="1172"/>
      <c r="T62" s="2503"/>
      <c r="U62" s="2503"/>
      <c r="V62" s="2503"/>
      <c r="W62" s="2503"/>
      <c r="X62" s="2503"/>
      <c r="Y62" s="2503"/>
      <c r="Z62" s="2503"/>
      <c r="AA62" s="2503"/>
      <c r="AB62" s="2503"/>
      <c r="AC62" s="2503"/>
      <c r="AD62" s="2503"/>
      <c r="AE62" s="2503"/>
      <c r="AF62" s="2503"/>
      <c r="AG62" s="2503"/>
      <c r="AH62" s="2503"/>
      <c r="AI62" s="2503"/>
      <c r="AJ62" s="2503"/>
      <c r="AK62" s="2503"/>
      <c r="AL62" s="2503"/>
      <c r="AM62" s="2503"/>
      <c r="AS62" s="1074">
        <v>18</v>
      </c>
    </row>
    <row r="63" spans="1:45" ht="18.75" customHeight="1">
      <c r="O63" s="474"/>
      <c r="P63" s="1247"/>
      <c r="T63" s="2503"/>
      <c r="U63" s="2503"/>
      <c r="V63" s="2503"/>
      <c r="W63" s="2503"/>
      <c r="X63" s="2503"/>
      <c r="Y63" s="2503"/>
      <c r="Z63" s="2503"/>
      <c r="AA63" s="2503"/>
      <c r="AB63" s="2503"/>
      <c r="AC63" s="2503"/>
      <c r="AD63" s="2503"/>
      <c r="AE63" s="2503"/>
      <c r="AF63" s="2503"/>
      <c r="AG63" s="2503"/>
      <c r="AH63" s="2503"/>
      <c r="AI63" s="2503"/>
      <c r="AJ63" s="2503"/>
      <c r="AK63" s="2503"/>
      <c r="AL63" s="2503"/>
      <c r="AM63" s="2503"/>
      <c r="AS63" s="1074">
        <v>18</v>
      </c>
    </row>
    <row r="64" spans="1:45" ht="29.25" customHeight="1">
      <c r="O64" s="474"/>
      <c r="P64" s="1247"/>
      <c r="S64" s="1172"/>
      <c r="T64" s="2503"/>
      <c r="U64" s="2503"/>
      <c r="V64" s="2503"/>
      <c r="W64" s="2503"/>
      <c r="X64" s="2503"/>
      <c r="Y64" s="2503"/>
      <c r="Z64" s="2503"/>
      <c r="AA64" s="2503"/>
      <c r="AB64" s="2503"/>
      <c r="AC64" s="2503"/>
      <c r="AD64" s="2503"/>
      <c r="AE64" s="2503"/>
      <c r="AF64" s="2503"/>
      <c r="AG64" s="2503"/>
      <c r="AH64" s="2503"/>
      <c r="AI64" s="2503"/>
      <c r="AJ64" s="2503"/>
      <c r="AK64" s="2503"/>
      <c r="AL64" s="2503"/>
      <c r="AM64" s="2503"/>
      <c r="AS64" s="1074">
        <v>28</v>
      </c>
    </row>
    <row r="65" spans="1:45" ht="22.5" hidden="1" customHeight="1">
      <c r="A65" s="1079" t="s">
        <v>81</v>
      </c>
      <c r="B65" s="1079">
        <v>0</v>
      </c>
      <c r="C65" s="1079">
        <v>0</v>
      </c>
      <c r="D65" s="1079">
        <v>0</v>
      </c>
      <c r="E65" s="1079">
        <v>0</v>
      </c>
      <c r="F65" s="1079">
        <v>0</v>
      </c>
      <c r="G65" s="1079">
        <v>0</v>
      </c>
      <c r="H65" s="1079">
        <v>0</v>
      </c>
      <c r="I65" s="1079">
        <v>0</v>
      </c>
      <c r="J65" s="1079">
        <v>0</v>
      </c>
      <c r="K65" s="1079">
        <v>0</v>
      </c>
      <c r="L65" s="1248">
        <v>0</v>
      </c>
      <c r="M65" s="1281">
        <v>0</v>
      </c>
      <c r="N65" s="1281">
        <v>0</v>
      </c>
      <c r="O65" s="1281">
        <v>0</v>
      </c>
      <c r="P65" s="1137">
        <v>3</v>
      </c>
      <c r="Q65" s="281">
        <v>3</v>
      </c>
      <c r="R65" s="281">
        <v>3</v>
      </c>
      <c r="S65" s="518">
        <v>12</v>
      </c>
      <c r="T65" s="1074">
        <v>35</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8">
        <v>10</v>
      </c>
      <c r="AO65" s="448">
        <v>10</v>
      </c>
      <c r="AP65" s="448">
        <v>10</v>
      </c>
      <c r="AQ65" s="448">
        <v>10</v>
      </c>
      <c r="AR65" s="448">
        <v>10</v>
      </c>
      <c r="AS65" s="1074">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44" hidden="1"/>
    <col min="2" max="2" width="11" style="2244" hidden="1" customWidth="1"/>
    <col min="3" max="3" width="10.5703125" style="2244" hidden="1"/>
    <col min="4" max="4" width="11.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2" style="2244" hidden="1" customWidth="1"/>
    <col min="10" max="10" width="9.85546875" style="2244" hidden="1" customWidth="1"/>
    <col min="11" max="11" width="11.42578125" style="2244" hidden="1" customWidth="1"/>
    <col min="12" max="12" width="19.140625" style="2270" hidden="1" customWidth="1"/>
    <col min="13" max="14" width="12.28515625" style="2271" hidden="1" customWidth="1"/>
    <col min="15" max="15" width="23.42578125" style="2271" hidden="1" customWidth="1"/>
    <col min="16" max="16" width="3" style="2272" customWidth="1"/>
    <col min="17" max="18" width="3" style="2273" customWidth="1"/>
    <col min="19" max="19" width="12" style="2274" customWidth="1"/>
    <col min="20" max="20" width="31" style="2238" customWidth="1"/>
    <col min="21" max="21" width="0.140625" style="2238" customWidth="1"/>
    <col min="22" max="22" width="24.7109375" style="2238" hidden="1" customWidth="1"/>
    <col min="23" max="23" width="0.140625" style="2238" hidden="1" customWidth="1"/>
    <col min="24" max="25" width="24.7109375" style="2238" hidden="1" customWidth="1"/>
    <col min="26" max="26" width="11.7109375" style="2238" hidden="1" customWidth="1"/>
    <col min="27" max="27" width="3.7109375" style="2238" hidden="1" customWidth="1"/>
    <col min="28" max="28" width="11.7109375" style="2238" hidden="1" customWidth="1"/>
    <col min="29" max="29" width="8.5703125" style="2238" hidden="1" customWidth="1"/>
    <col min="30" max="30" width="24.7109375" style="2238" customWidth="1"/>
    <col min="31" max="31" width="0.140625" style="2238" customWidth="1"/>
    <col min="32" max="33" width="24" style="2238" customWidth="1"/>
    <col min="34" max="34" width="11" style="2238" customWidth="1"/>
    <col min="35" max="35" width="3.7109375" style="2238" customWidth="1"/>
    <col min="36" max="36" width="11" style="2238" customWidth="1"/>
    <col min="37" max="37" width="8.5703125" style="2238" hidden="1" customWidth="1"/>
    <col min="38" max="38" width="4" style="2238" customWidth="1"/>
    <col min="39" max="39" width="115" style="2238" customWidth="1"/>
    <col min="40" max="44" width="10" style="2245" customWidth="1"/>
    <col min="45" max="45" width="10.5703125" style="2238" hidden="1"/>
  </cols>
  <sheetData>
    <row r="1" spans="1:45" ht="22.5" hidden="1" customHeight="1">
      <c r="Y1" s="264"/>
      <c r="Z1" s="264"/>
      <c r="AG1" s="264"/>
      <c r="AH1" s="264"/>
      <c r="AS1" s="1074" t="s">
        <v>14</v>
      </c>
    </row>
    <row r="2" spans="1:45" ht="21" hidden="1" customHeight="1">
      <c r="A2" s="1282"/>
      <c r="B2" s="1282"/>
      <c r="C2" s="1282"/>
      <c r="D2" s="1282"/>
      <c r="E2" s="2483">
        <v>1</v>
      </c>
      <c r="F2" s="1282"/>
      <c r="G2" s="1282"/>
      <c r="H2" s="1282"/>
      <c r="I2" s="1282"/>
      <c r="J2" s="1282"/>
      <c r="K2" s="1282"/>
      <c r="L2" s="1283"/>
      <c r="M2" s="1284"/>
      <c r="N2" s="1284"/>
      <c r="O2" s="1284"/>
      <c r="P2" s="298"/>
      <c r="Q2" s="297"/>
      <c r="R2" s="292"/>
      <c r="S2" s="1255" t="e">
        <f>INDEX(PT_DIFFERENTIATION_NUM_NTAR,MATCH(A2,PT_DIFFERENTIATION_NTAR_ID,0))</f>
        <v>#N/A</v>
      </c>
      <c r="T2" s="235" t="s">
        <v>123</v>
      </c>
      <c r="U2" s="237"/>
      <c r="V2" s="2469"/>
      <c r="W2" s="2470"/>
      <c r="X2" s="2470"/>
      <c r="Y2" s="2470"/>
      <c r="Z2" s="2470"/>
      <c r="AA2" s="2470"/>
      <c r="AB2" s="2470"/>
      <c r="AC2" s="2471"/>
      <c r="AD2" s="2469" t="e">
        <f>INDEX(PT_DIFFERENTIATION_NTAR,MATCH(A2,PT_DIFFERENTIATION_NTAR_ID,0))</f>
        <v>#N/A</v>
      </c>
      <c r="AE2" s="2470"/>
      <c r="AF2" s="2470"/>
      <c r="AG2" s="2470"/>
      <c r="AH2" s="2470"/>
      <c r="AI2" s="2470"/>
      <c r="AJ2" s="2470"/>
      <c r="AK2" s="2470"/>
      <c r="AL2" s="2471"/>
      <c r="AM2" s="1177" t="s">
        <v>394</v>
      </c>
      <c r="AO2" s="437"/>
      <c r="AP2" s="437" t="str">
        <f t="shared" ref="AP2:AP15" si="0">IF(T2="","",T2)</f>
        <v>Наименование тарифа</v>
      </c>
      <c r="AQ2" s="437"/>
      <c r="AR2" s="437"/>
      <c r="AS2" s="1074">
        <v>0</v>
      </c>
    </row>
    <row r="3" spans="1:45" ht="21" hidden="1" customHeight="1">
      <c r="A3" s="1282"/>
      <c r="B3" s="1282"/>
      <c r="C3" s="1282"/>
      <c r="D3" s="1282"/>
      <c r="E3" s="2484"/>
      <c r="F3" s="2483">
        <v>1</v>
      </c>
      <c r="G3" s="1282"/>
      <c r="H3" s="1282"/>
      <c r="I3" s="1282"/>
      <c r="J3" s="1282"/>
      <c r="K3" s="1282"/>
      <c r="L3" s="1283"/>
      <c r="M3" s="1284"/>
      <c r="N3" s="1284"/>
      <c r="O3" s="1284"/>
      <c r="P3" s="1251"/>
      <c r="Q3" s="289"/>
      <c r="R3" s="290"/>
      <c r="S3" s="1255" t="e">
        <f>INDEX(PT_DIFFERENTIATION_NUM_TER,MATCH(B3,PT_DIFFERENTIATION_TER_ID,0))</f>
        <v>#N/A</v>
      </c>
      <c r="T3" s="245" t="s">
        <v>395</v>
      </c>
      <c r="U3" s="237"/>
      <c r="V3" s="2469"/>
      <c r="W3" s="2470"/>
      <c r="X3" s="2470"/>
      <c r="Y3" s="2470"/>
      <c r="Z3" s="2470"/>
      <c r="AA3" s="2470"/>
      <c r="AB3" s="2470"/>
      <c r="AC3" s="2471"/>
      <c r="AD3" s="2469" t="e">
        <f>INDEX(PT_DIFFERENTIATION_TER,MATCH(B3,PT_DIFFERENTIATION_TER_ID,0))</f>
        <v>#N/A</v>
      </c>
      <c r="AE3" s="2470"/>
      <c r="AF3" s="2470"/>
      <c r="AG3" s="2470"/>
      <c r="AH3" s="2470"/>
      <c r="AI3" s="2470"/>
      <c r="AJ3" s="2470"/>
      <c r="AK3" s="2470"/>
      <c r="AL3" s="2471"/>
      <c r="AM3" s="1177" t="s">
        <v>396</v>
      </c>
      <c r="AO3" s="437"/>
      <c r="AP3" s="437" t="str">
        <f t="shared" si="0"/>
        <v>Территория действия тарифа</v>
      </c>
      <c r="AQ3" s="437"/>
      <c r="AR3" s="437"/>
      <c r="AS3" s="1074">
        <v>0</v>
      </c>
    </row>
    <row r="4" spans="1:45" ht="23.25" hidden="1" customHeight="1">
      <c r="A4" s="1282"/>
      <c r="B4" s="1282"/>
      <c r="C4" s="1282"/>
      <c r="D4" s="1282"/>
      <c r="E4" s="2484"/>
      <c r="F4" s="2484"/>
      <c r="G4" s="2483">
        <v>1</v>
      </c>
      <c r="H4" s="1282"/>
      <c r="I4" s="1282"/>
      <c r="J4" s="1282"/>
      <c r="K4" s="1282"/>
      <c r="L4" s="1283"/>
      <c r="M4" s="1284"/>
      <c r="N4" s="1284"/>
      <c r="O4" s="1284"/>
      <c r="P4" s="291"/>
      <c r="Q4" s="289"/>
      <c r="R4" s="290"/>
      <c r="S4" s="1255" t="e">
        <f>INDEX(PT_DIFFERENTIATION_NUM_CS,MATCH(C4,PT_DIFFERENTIATION_CS_ID,0))</f>
        <v>#N/A</v>
      </c>
      <c r="T4" s="246" t="s">
        <v>397</v>
      </c>
      <c r="U4" s="237"/>
      <c r="V4" s="2469"/>
      <c r="W4" s="2470"/>
      <c r="X4" s="2470"/>
      <c r="Y4" s="2470"/>
      <c r="Z4" s="2470"/>
      <c r="AA4" s="2470"/>
      <c r="AB4" s="2470"/>
      <c r="AC4" s="2471"/>
      <c r="AD4" s="2469" t="e">
        <f>INDEX(PT_DIFFERENTIATION_CS,MATCH(C4,PT_DIFFERENTIATION_CS_ID,0))</f>
        <v>#N/A</v>
      </c>
      <c r="AE4" s="2470"/>
      <c r="AF4" s="2470"/>
      <c r="AG4" s="2470"/>
      <c r="AH4" s="2470"/>
      <c r="AI4" s="2470"/>
      <c r="AJ4" s="2470"/>
      <c r="AK4" s="2470"/>
      <c r="AL4" s="2471"/>
      <c r="AM4" s="1177" t="s">
        <v>398</v>
      </c>
      <c r="AO4" s="437"/>
      <c r="AP4" s="437" t="str">
        <f t="shared" si="0"/>
        <v xml:space="preserve">Наименование системы теплоснабжения </v>
      </c>
      <c r="AQ4" s="437"/>
      <c r="AR4" s="437"/>
      <c r="AS4" s="1074">
        <v>0</v>
      </c>
    </row>
    <row r="5" spans="1:45" ht="21" hidden="1" customHeight="1">
      <c r="A5" s="1282"/>
      <c r="B5" s="1282"/>
      <c r="C5" s="1282"/>
      <c r="D5" s="1282"/>
      <c r="E5" s="2484"/>
      <c r="F5" s="2484"/>
      <c r="G5" s="2484"/>
      <c r="H5" s="2483">
        <v>1</v>
      </c>
      <c r="I5" s="1282"/>
      <c r="J5" s="1282"/>
      <c r="K5" s="1282"/>
      <c r="L5" s="1283"/>
      <c r="M5" s="1284"/>
      <c r="N5" s="1284"/>
      <c r="O5" s="1284"/>
      <c r="P5" s="291"/>
      <c r="Q5" s="289"/>
      <c r="R5" s="290"/>
      <c r="S5" s="1255" t="e">
        <f>INDEX(PT_DIFFERENTIATION_NUM_IST_TE,MATCH(D5,PT_DIFFERENTIATION_IST_TE_ID,0))</f>
        <v>#N/A</v>
      </c>
      <c r="T5" s="247" t="s">
        <v>399</v>
      </c>
      <c r="U5" s="237"/>
      <c r="V5" s="2469"/>
      <c r="W5" s="2470"/>
      <c r="X5" s="2470"/>
      <c r="Y5" s="2470"/>
      <c r="Z5" s="2470"/>
      <c r="AA5" s="2470"/>
      <c r="AB5" s="2470"/>
      <c r="AC5" s="2471"/>
      <c r="AD5" s="2469" t="e">
        <f>INDEX(PT_DIFFERENTIATION_IST_TE,MATCH(D5,PT_DIFFERENTIATION_IST_TE_ID,0))</f>
        <v>#N/A</v>
      </c>
      <c r="AE5" s="2470"/>
      <c r="AF5" s="2470"/>
      <c r="AG5" s="2470"/>
      <c r="AH5" s="2470"/>
      <c r="AI5" s="2470"/>
      <c r="AJ5" s="2470"/>
      <c r="AK5" s="2470"/>
      <c r="AL5" s="2471"/>
      <c r="AM5" s="1177" t="s">
        <v>400</v>
      </c>
      <c r="AO5" s="437"/>
      <c r="AP5" s="437" t="str">
        <f t="shared" si="0"/>
        <v xml:space="preserve">Источник тепловой энергии  </v>
      </c>
      <c r="AQ5" s="437"/>
      <c r="AR5" s="437"/>
      <c r="AS5" s="1074">
        <v>0</v>
      </c>
    </row>
    <row r="6" spans="1:45" ht="47.25" hidden="1" customHeight="1">
      <c r="A6" s="1282"/>
      <c r="B6" s="1282"/>
      <c r="C6" s="1282"/>
      <c r="D6" s="1282"/>
      <c r="E6" s="2484"/>
      <c r="F6" s="2484"/>
      <c r="G6" s="2484"/>
      <c r="H6" s="2484"/>
      <c r="I6" s="2481" t="e">
        <f>S5&amp;".1"</f>
        <v>#N/A</v>
      </c>
      <c r="J6" s="1282"/>
      <c r="K6" s="1282"/>
      <c r="L6" s="1283" t="s">
        <v>401</v>
      </c>
      <c r="M6" s="474"/>
      <c r="P6" s="2482">
        <v>1</v>
      </c>
      <c r="Q6" s="1250"/>
      <c r="R6" s="293"/>
      <c r="S6" s="1255" t="e">
        <f>$I6</f>
        <v>#N/A</v>
      </c>
      <c r="T6" s="222" t="s">
        <v>402</v>
      </c>
      <c r="U6" s="237"/>
      <c r="V6" s="2472"/>
      <c r="W6" s="2473"/>
      <c r="X6" s="2473"/>
      <c r="Y6" s="2473"/>
      <c r="Z6" s="2473"/>
      <c r="AA6" s="2473"/>
      <c r="AB6" s="2473"/>
      <c r="AC6" s="2474"/>
      <c r="AD6" s="2472"/>
      <c r="AE6" s="2473"/>
      <c r="AF6" s="2473"/>
      <c r="AG6" s="2473"/>
      <c r="AH6" s="2473"/>
      <c r="AI6" s="2473"/>
      <c r="AJ6" s="2473"/>
      <c r="AK6" s="2473"/>
      <c r="AL6" s="2474"/>
      <c r="AM6" s="1177" t="s">
        <v>403</v>
      </c>
      <c r="AO6" s="437"/>
      <c r="AP6" s="437" t="str">
        <f t="shared" si="0"/>
        <v>Схема подключения теплопотребляющей установки к коллектору источника тепловой энергии</v>
      </c>
      <c r="AQ6" s="437"/>
      <c r="AR6" s="437"/>
      <c r="AS6" s="1074">
        <v>0</v>
      </c>
    </row>
    <row r="7" spans="1:45" ht="21" hidden="1" customHeight="1">
      <c r="A7" s="1282"/>
      <c r="B7" s="1282"/>
      <c r="C7" s="1282"/>
      <c r="D7" s="1282"/>
      <c r="E7" s="2484"/>
      <c r="F7" s="2484"/>
      <c r="G7" s="2484"/>
      <c r="H7" s="2484"/>
      <c r="I7" s="2504"/>
      <c r="J7" s="2481" t="e">
        <f>I6&amp;".1"</f>
        <v>#N/A</v>
      </c>
      <c r="K7" s="1282"/>
      <c r="L7" s="1283" t="s">
        <v>404</v>
      </c>
      <c r="M7" s="474"/>
      <c r="N7" s="1285"/>
      <c r="P7" s="2482"/>
      <c r="Q7" s="2482">
        <v>1</v>
      </c>
      <c r="R7" s="294"/>
      <c r="S7" s="1255" t="e">
        <f>$J7</f>
        <v>#N/A</v>
      </c>
      <c r="T7" s="223" t="s">
        <v>405</v>
      </c>
      <c r="U7" s="237"/>
      <c r="V7" s="2472"/>
      <c r="W7" s="2473"/>
      <c r="X7" s="2473"/>
      <c r="Y7" s="2473"/>
      <c r="Z7" s="2473"/>
      <c r="AA7" s="2473"/>
      <c r="AB7" s="2473"/>
      <c r="AC7" s="2474"/>
      <c r="AD7" s="2472"/>
      <c r="AE7" s="2473"/>
      <c r="AF7" s="2473"/>
      <c r="AG7" s="2473"/>
      <c r="AH7" s="2473"/>
      <c r="AI7" s="2473"/>
      <c r="AJ7" s="2473"/>
      <c r="AK7" s="2473"/>
      <c r="AL7" s="2474"/>
      <c r="AM7" s="1177" t="s">
        <v>406</v>
      </c>
      <c r="AO7" s="437"/>
      <c r="AP7" s="437" t="str">
        <f t="shared" si="0"/>
        <v>Группа потребителей</v>
      </c>
      <c r="AQ7" s="437"/>
      <c r="AR7" s="437"/>
      <c r="AS7" s="1074">
        <v>0</v>
      </c>
    </row>
    <row r="8" spans="1:45" ht="21" hidden="1" customHeight="1">
      <c r="A8" s="1282"/>
      <c r="B8" s="1282"/>
      <c r="C8" s="1282"/>
      <c r="D8" s="1282"/>
      <c r="E8" s="2484"/>
      <c r="F8" s="2484"/>
      <c r="G8" s="2484"/>
      <c r="H8" s="2484"/>
      <c r="I8" s="2504"/>
      <c r="J8" s="2504"/>
      <c r="K8" s="2481" t="e">
        <f>J7&amp;".1"</f>
        <v>#N/A</v>
      </c>
      <c r="L8" s="1283" t="s">
        <v>407</v>
      </c>
      <c r="M8" s="474"/>
      <c r="N8" s="1285"/>
      <c r="O8" s="1285"/>
      <c r="P8" s="2482"/>
      <c r="Q8" s="2482"/>
      <c r="R8" s="294">
        <v>1</v>
      </c>
      <c r="S8" s="1255" t="e">
        <f>$K8</f>
        <v>#N/A</v>
      </c>
      <c r="T8" s="1266"/>
      <c r="U8" s="237"/>
      <c r="V8" s="688"/>
      <c r="W8" s="262"/>
      <c r="X8" s="688"/>
      <c r="Y8" s="1176"/>
      <c r="Z8" s="2486"/>
      <c r="AA8" s="2344" t="s">
        <v>64</v>
      </c>
      <c r="AB8" s="2486"/>
      <c r="AC8" s="2344" t="s">
        <v>64</v>
      </c>
      <c r="AD8" s="688"/>
      <c r="AE8" s="262"/>
      <c r="AF8" s="688"/>
      <c r="AG8" s="1176"/>
      <c r="AH8" s="2486"/>
      <c r="AI8" s="2344" t="s">
        <v>64</v>
      </c>
      <c r="AJ8" s="2486"/>
      <c r="AK8" s="2344" t="s">
        <v>64</v>
      </c>
      <c r="AL8" s="262"/>
      <c r="AM8" s="2478" t="s">
        <v>408</v>
      </c>
      <c r="AN8" s="448" t="e">
        <f ca="1">STRCHECKDATE(V9:AL9)</f>
        <v>#NAME?</v>
      </c>
      <c r="AO8" s="437"/>
      <c r="AP8" s="437" t="str">
        <f t="shared" si="0"/>
        <v/>
      </c>
      <c r="AQ8" s="437"/>
      <c r="AR8" s="437"/>
      <c r="AS8" s="1074">
        <v>0</v>
      </c>
    </row>
    <row r="9" spans="1:45" ht="0.75" hidden="1" customHeight="1">
      <c r="A9" s="1282"/>
      <c r="B9" s="1282"/>
      <c r="C9" s="1282"/>
      <c r="D9" s="1282"/>
      <c r="E9" s="2484"/>
      <c r="F9" s="2484"/>
      <c r="G9" s="2484"/>
      <c r="H9" s="2484"/>
      <c r="I9" s="2504"/>
      <c r="J9" s="2504"/>
      <c r="K9" s="2481"/>
      <c r="L9" s="1283"/>
      <c r="M9" s="474"/>
      <c r="N9" s="1285"/>
      <c r="O9" s="1285"/>
      <c r="P9" s="2482"/>
      <c r="Q9" s="2482"/>
      <c r="R9" s="294"/>
      <c r="S9" s="1261"/>
      <c r="T9" s="237"/>
      <c r="U9" s="237"/>
      <c r="V9" s="262"/>
      <c r="W9" s="262"/>
      <c r="X9" s="262"/>
      <c r="Y9" s="265" t="str">
        <f>Z8&amp;"-"&amp;AB8</f>
        <v>-</v>
      </c>
      <c r="Z9" s="2487"/>
      <c r="AA9" s="2344"/>
      <c r="AB9" s="2487"/>
      <c r="AC9" s="2344"/>
      <c r="AD9" s="262"/>
      <c r="AE9" s="262"/>
      <c r="AF9" s="262"/>
      <c r="AG9" s="265" t="str">
        <f>AH8&amp;"-"&amp;AJ8</f>
        <v>-</v>
      </c>
      <c r="AH9" s="2487"/>
      <c r="AI9" s="2344"/>
      <c r="AJ9" s="2487"/>
      <c r="AK9" s="2344"/>
      <c r="AL9" s="262"/>
      <c r="AM9" s="2479"/>
      <c r="AO9" s="437"/>
      <c r="AP9" s="437" t="str">
        <f t="shared" si="0"/>
        <v/>
      </c>
      <c r="AQ9" s="437"/>
      <c r="AR9" s="437"/>
      <c r="AS9" s="1074">
        <v>0</v>
      </c>
    </row>
    <row r="10" spans="1:45" ht="15" hidden="1" customHeight="1">
      <c r="A10" s="1282"/>
      <c r="B10" s="1282"/>
      <c r="C10" s="1282"/>
      <c r="D10" s="1282"/>
      <c r="E10" s="2484"/>
      <c r="F10" s="2484"/>
      <c r="G10" s="2484"/>
      <c r="H10" s="2484"/>
      <c r="I10" s="2504"/>
      <c r="J10" s="2481"/>
      <c r="K10" s="1282"/>
      <c r="L10" s="1283"/>
      <c r="M10" s="474"/>
      <c r="N10" s="1285"/>
      <c r="P10" s="2482"/>
      <c r="Q10" s="2482"/>
      <c r="R10" s="293"/>
      <c r="S10" s="1197"/>
      <c r="T10" s="225" t="s">
        <v>409</v>
      </c>
      <c r="U10" s="304"/>
      <c r="V10" s="304"/>
      <c r="W10" s="304"/>
      <c r="X10" s="304"/>
      <c r="Y10" s="304"/>
      <c r="Z10" s="304"/>
      <c r="AA10" s="304"/>
      <c r="AB10" s="304"/>
      <c r="AC10" s="304"/>
      <c r="AD10" s="304"/>
      <c r="AE10" s="304"/>
      <c r="AF10" s="304"/>
      <c r="AG10" s="304"/>
      <c r="AH10" s="304"/>
      <c r="AI10" s="304"/>
      <c r="AJ10" s="304"/>
      <c r="AK10" s="304"/>
      <c r="AL10" s="261"/>
      <c r="AM10" s="2480"/>
      <c r="AO10" s="437"/>
      <c r="AP10" s="437" t="str">
        <f t="shared" si="0"/>
        <v>Добавить вид теплоносителя (параметры теплоносителя)</v>
      </c>
      <c r="AQ10" s="437"/>
      <c r="AR10" s="437"/>
      <c r="AS10" s="1074">
        <v>0</v>
      </c>
    </row>
    <row r="11" spans="1:45" ht="15" hidden="1" customHeight="1">
      <c r="A11" s="1282"/>
      <c r="B11" s="1282"/>
      <c r="C11" s="1282"/>
      <c r="D11" s="1282"/>
      <c r="E11" s="2484"/>
      <c r="F11" s="2484"/>
      <c r="G11" s="2484"/>
      <c r="H11" s="2484"/>
      <c r="I11" s="2481"/>
      <c r="J11" s="1282"/>
      <c r="K11" s="1282"/>
      <c r="L11" s="1283"/>
      <c r="M11" s="474"/>
      <c r="P11" s="2482"/>
      <c r="Q11" s="1250"/>
      <c r="R11" s="293"/>
      <c r="S11" s="1197"/>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4">
        <v>0</v>
      </c>
    </row>
    <row r="12" spans="1:45" ht="14.25" hidden="1" customHeight="1">
      <c r="A12" s="1282"/>
      <c r="B12" s="1282"/>
      <c r="C12" s="1282"/>
      <c r="D12" s="1282"/>
      <c r="E12" s="2484"/>
      <c r="F12" s="2484"/>
      <c r="G12" s="2484"/>
      <c r="H12" s="2483"/>
      <c r="I12" s="1282"/>
      <c r="J12" s="1282"/>
      <c r="K12" s="1282"/>
      <c r="L12" s="1283"/>
      <c r="M12" s="1284"/>
      <c r="N12" s="1284"/>
      <c r="O12" s="474"/>
      <c r="P12" s="297"/>
      <c r="Q12" s="312"/>
      <c r="R12" s="292"/>
      <c r="S12" s="1197"/>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74">
        <v>0</v>
      </c>
    </row>
    <row r="13" spans="1:45" s="2245" customFormat="1" ht="0.75" hidden="1" customHeight="1">
      <c r="A13" s="1233"/>
      <c r="B13" s="1233"/>
      <c r="C13" s="1233"/>
      <c r="D13" s="1233"/>
      <c r="E13" s="2484"/>
      <c r="F13" s="2484"/>
      <c r="G13" s="2483"/>
      <c r="H13" s="1233"/>
      <c r="I13" s="1233"/>
      <c r="J13" s="1233"/>
      <c r="K13" s="1233"/>
      <c r="L13" s="1258"/>
      <c r="M13" s="1234"/>
      <c r="N13" s="1234"/>
      <c r="P13" s="1235"/>
      <c r="Q13" s="1236"/>
      <c r="R13" s="1235"/>
      <c r="S13" s="1237"/>
      <c r="T13" s="1238" t="s">
        <v>412</v>
      </c>
      <c r="U13" s="1239"/>
      <c r="V13" s="1239"/>
      <c r="W13" s="1239"/>
      <c r="X13" s="1239"/>
      <c r="Y13" s="1239"/>
      <c r="Z13" s="1239"/>
      <c r="AA13" s="1239"/>
      <c r="AB13" s="1239"/>
      <c r="AC13" s="1239"/>
      <c r="AD13" s="1239"/>
      <c r="AE13" s="1239"/>
      <c r="AF13" s="1239"/>
      <c r="AG13" s="1239"/>
      <c r="AH13" s="1239"/>
      <c r="AI13" s="1239"/>
      <c r="AJ13" s="1239"/>
      <c r="AK13" s="1239"/>
      <c r="AL13" s="1239"/>
      <c r="AM13" s="1239"/>
      <c r="AO13" s="720"/>
      <c r="AP13" s="720" t="str">
        <f t="shared" si="0"/>
        <v>Добавить источник для дифференциации</v>
      </c>
      <c r="AQ13" s="720"/>
      <c r="AR13" s="720"/>
      <c r="AS13" s="455">
        <v>0</v>
      </c>
    </row>
    <row r="14" spans="1:45" s="2245" customFormat="1" ht="0.75" hidden="1" customHeight="1">
      <c r="A14" s="1233"/>
      <c r="B14" s="1233"/>
      <c r="C14" s="1233"/>
      <c r="D14" s="1233"/>
      <c r="E14" s="2484"/>
      <c r="F14" s="2483"/>
      <c r="G14" s="1233"/>
      <c r="H14" s="1233"/>
      <c r="I14" s="1233"/>
      <c r="J14" s="1233"/>
      <c r="K14" s="1233"/>
      <c r="L14" s="1258"/>
      <c r="M14" s="1240"/>
      <c r="N14" s="1240"/>
      <c r="P14" s="1235"/>
      <c r="Q14" s="1236"/>
      <c r="R14" s="1235"/>
      <c r="S14" s="1241"/>
      <c r="T14" s="1242" t="s">
        <v>413</v>
      </c>
      <c r="U14" s="1243"/>
      <c r="V14" s="1243"/>
      <c r="W14" s="1243"/>
      <c r="X14" s="1243"/>
      <c r="Y14" s="1243"/>
      <c r="Z14" s="1243"/>
      <c r="AA14" s="1243"/>
      <c r="AB14" s="1243"/>
      <c r="AC14" s="1243"/>
      <c r="AD14" s="1243"/>
      <c r="AE14" s="1243"/>
      <c r="AF14" s="1243"/>
      <c r="AG14" s="1243"/>
      <c r="AH14" s="1243"/>
      <c r="AI14" s="1243"/>
      <c r="AJ14" s="1243"/>
      <c r="AK14" s="1243"/>
      <c r="AL14" s="1243"/>
      <c r="AM14" s="1243"/>
      <c r="AO14" s="720"/>
      <c r="AP14" s="720" t="str">
        <f t="shared" si="0"/>
        <v>Добавить централизованную систему для дифференциации</v>
      </c>
      <c r="AQ14" s="720"/>
      <c r="AR14" s="720"/>
      <c r="AS14" s="455">
        <v>0</v>
      </c>
    </row>
    <row r="15" spans="1:45" s="2245" customFormat="1" ht="0.75" hidden="1" customHeight="1">
      <c r="A15" s="1233"/>
      <c r="B15" s="1233"/>
      <c r="C15" s="1233"/>
      <c r="D15" s="1233"/>
      <c r="E15" s="2483"/>
      <c r="F15" s="1233"/>
      <c r="G15" s="1233"/>
      <c r="H15" s="1233"/>
      <c r="I15" s="1233"/>
      <c r="J15" s="1233"/>
      <c r="K15" s="1233"/>
      <c r="L15" s="1258"/>
      <c r="M15" s="1240"/>
      <c r="N15" s="1240"/>
      <c r="P15" s="1235"/>
      <c r="Q15" s="1236"/>
      <c r="R15" s="1235"/>
      <c r="S15" s="1241"/>
      <c r="T15" s="1244" t="s">
        <v>414</v>
      </c>
      <c r="U15" s="1243"/>
      <c r="V15" s="1243"/>
      <c r="W15" s="1243"/>
      <c r="X15" s="1243"/>
      <c r="Y15" s="1243"/>
      <c r="Z15" s="1243"/>
      <c r="AA15" s="1243"/>
      <c r="AB15" s="1243"/>
      <c r="AC15" s="1243"/>
      <c r="AD15" s="1243"/>
      <c r="AE15" s="1243"/>
      <c r="AF15" s="1243"/>
      <c r="AG15" s="1243"/>
      <c r="AH15" s="1243"/>
      <c r="AI15" s="1243"/>
      <c r="AJ15" s="1243"/>
      <c r="AK15" s="1243"/>
      <c r="AL15" s="1243"/>
      <c r="AM15" s="1243"/>
      <c r="AO15" s="720"/>
      <c r="AP15" s="720" t="str">
        <f t="shared" si="0"/>
        <v>Добавить территорию для дифференциации</v>
      </c>
      <c r="AQ15" s="720"/>
      <c r="AR15" s="720"/>
      <c r="AS15" s="455">
        <v>0</v>
      </c>
    </row>
    <row r="16" spans="1:45" ht="14.25" hidden="1" customHeight="1">
      <c r="AC16" s="264"/>
      <c r="AK16" s="264"/>
      <c r="AS16" s="1074">
        <v>0</v>
      </c>
    </row>
    <row r="17" spans="1:45" ht="14.25" hidden="1" customHeight="1">
      <c r="AD17" s="1279"/>
      <c r="AE17" s="1279"/>
      <c r="AF17" s="1279"/>
      <c r="AG17" s="1280"/>
      <c r="AH17" s="2488"/>
      <c r="AI17" s="2489" t="s">
        <v>64</v>
      </c>
      <c r="AJ17" s="2488"/>
      <c r="AK17" s="2489" t="s">
        <v>64</v>
      </c>
      <c r="AS17" s="1074">
        <v>0</v>
      </c>
    </row>
    <row r="18" spans="1:45" ht="14.25" hidden="1" customHeight="1">
      <c r="AD18" s="1279"/>
      <c r="AE18" s="1279"/>
      <c r="AF18" s="1279"/>
      <c r="AG18" s="265" t="str">
        <f>AH17&amp;"-"&amp;AJ17</f>
        <v>-</v>
      </c>
      <c r="AH18" s="2489"/>
      <c r="AI18" s="2489"/>
      <c r="AJ18" s="2489"/>
      <c r="AK18" s="2489"/>
      <c r="AS18" s="1074">
        <v>0</v>
      </c>
    </row>
    <row r="19" spans="1:45" ht="14.25" hidden="1" customHeight="1">
      <c r="AK19" s="264"/>
      <c r="AS19" s="1074">
        <v>0</v>
      </c>
    </row>
    <row r="20" spans="1:45" s="2244" customFormat="1" ht="22.5" hidden="1" customHeight="1">
      <c r="L20" s="1248"/>
      <c r="M20" s="1281"/>
      <c r="N20" s="1281"/>
      <c r="O20" s="1286" t="s">
        <v>415</v>
      </c>
      <c r="P20" s="1281"/>
      <c r="Q20" s="1290"/>
      <c r="R20" s="1290"/>
      <c r="S20" s="666"/>
      <c r="Z20" s="1286"/>
      <c r="AB20" s="1286"/>
      <c r="AC20" s="1285"/>
      <c r="AH20" s="1286"/>
      <c r="AJ20" s="1286"/>
      <c r="AK20" s="1285"/>
      <c r="AN20" s="448"/>
      <c r="AO20" s="448"/>
      <c r="AP20" s="448"/>
      <c r="AQ20" s="448"/>
      <c r="AR20" s="448"/>
      <c r="AS20" s="1079">
        <v>0</v>
      </c>
    </row>
    <row r="21" spans="1:45" s="2244" customFormat="1" ht="14.25" hidden="1" customHeight="1">
      <c r="L21" s="1248"/>
      <c r="M21" s="1281"/>
      <c r="N21" s="1281"/>
      <c r="O21" s="1281"/>
      <c r="P21" s="1281"/>
      <c r="Q21" s="1290"/>
      <c r="R21" s="1290"/>
      <c r="S21" s="666"/>
      <c r="AC21" s="1285"/>
      <c r="AK21" s="1285"/>
      <c r="AN21" s="448"/>
      <c r="AO21" s="448"/>
      <c r="AP21" s="448"/>
      <c r="AQ21" s="448"/>
      <c r="AR21" s="448"/>
      <c r="AS21" s="1079">
        <v>0</v>
      </c>
    </row>
    <row r="22" spans="1:45" s="2244" customFormat="1" ht="14.25" hidden="1" customHeight="1">
      <c r="L22" s="1248"/>
      <c r="M22" s="1281"/>
      <c r="N22" s="1281"/>
      <c r="O22" s="1283" t="s">
        <v>416</v>
      </c>
      <c r="P22" s="1281"/>
      <c r="Q22" s="1290"/>
      <c r="R22" s="1290"/>
      <c r="S22" s="666"/>
      <c r="T22" s="1079" t="s">
        <v>417</v>
      </c>
      <c r="AA22" s="123" t="s">
        <v>418</v>
      </c>
      <c r="AC22" s="123" t="s">
        <v>419</v>
      </c>
      <c r="AD22" s="1079" t="s">
        <v>417</v>
      </c>
      <c r="AI22" s="123" t="s">
        <v>420</v>
      </c>
      <c r="AK22" s="123" t="s">
        <v>419</v>
      </c>
      <c r="AN22" s="448"/>
      <c r="AO22" s="448"/>
      <c r="AP22" s="448"/>
      <c r="AQ22" s="448"/>
      <c r="AR22" s="448"/>
      <c r="AS22" s="1079">
        <v>0</v>
      </c>
    </row>
    <row r="23" spans="1:45" ht="14.25" hidden="1" customHeight="1">
      <c r="O23" s="1283"/>
      <c r="AS23" s="1074">
        <v>0</v>
      </c>
    </row>
    <row r="24" spans="1:45" ht="14.25" hidden="1" customHeight="1">
      <c r="O24" s="1283"/>
      <c r="AS24" s="1074">
        <v>0</v>
      </c>
    </row>
    <row r="25" spans="1:45" ht="14.65" customHeight="1">
      <c r="Q25" s="313"/>
      <c r="R25" s="313"/>
      <c r="S25" s="1194"/>
      <c r="T25" s="300"/>
      <c r="U25" s="300"/>
      <c r="V25" s="446"/>
      <c r="W25" s="446"/>
      <c r="X25" s="446"/>
      <c r="Y25" s="446"/>
      <c r="Z25" s="446"/>
      <c r="AA25" s="446"/>
      <c r="AB25" s="446"/>
      <c r="AC25" s="446"/>
      <c r="AD25" s="446"/>
      <c r="AE25" s="446"/>
      <c r="AF25" s="446"/>
      <c r="AG25" s="446"/>
      <c r="AH25" s="446"/>
      <c r="AI25" s="446"/>
      <c r="AJ25" s="446"/>
      <c r="AK25" s="446"/>
      <c r="AS25" s="1074">
        <v>14</v>
      </c>
    </row>
    <row r="26" spans="1:45" ht="14.65" customHeight="1">
      <c r="Q26" s="313"/>
      <c r="R26" s="313"/>
      <c r="S26" s="24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67"/>
      <c r="U26" s="2467"/>
      <c r="V26" s="2467"/>
      <c r="W26" s="2467"/>
      <c r="X26" s="2467"/>
      <c r="Y26" s="2467"/>
      <c r="Z26" s="2467"/>
      <c r="AA26" s="2467"/>
      <c r="AB26" s="2467"/>
      <c r="AC26" s="2467"/>
      <c r="AD26" s="2467"/>
      <c r="AE26" s="2467"/>
      <c r="AF26" s="2467"/>
      <c r="AG26" s="2467"/>
      <c r="AH26" s="2467"/>
      <c r="AI26" s="2467"/>
      <c r="AJ26" s="2467"/>
      <c r="AK26" s="1162"/>
      <c r="AS26" s="1074">
        <v>14</v>
      </c>
    </row>
    <row r="27" spans="1:45" ht="14.65" customHeight="1">
      <c r="Q27" s="313"/>
      <c r="R27" s="313"/>
      <c r="S27" s="2412" t="str">
        <f>IF(org=0,"Не определено",org)</f>
        <v>МУП "Водоканал"</v>
      </c>
      <c r="T27" s="2412"/>
      <c r="U27" s="2412"/>
      <c r="V27" s="2412"/>
      <c r="W27" s="2412"/>
      <c r="X27" s="2412"/>
      <c r="Y27" s="2412"/>
      <c r="Z27" s="2412"/>
      <c r="AA27" s="2412"/>
      <c r="AB27" s="2412"/>
      <c r="AC27" s="2412"/>
      <c r="AD27" s="2412"/>
      <c r="AE27" s="2412"/>
      <c r="AF27" s="2412"/>
      <c r="AG27" s="2412"/>
      <c r="AH27" s="2412"/>
      <c r="AI27" s="2412"/>
      <c r="AJ27" s="2412"/>
      <c r="AK27" s="1162"/>
      <c r="AS27" s="1074">
        <v>14</v>
      </c>
    </row>
    <row r="28" spans="1:45" ht="14.25" hidden="1" customHeight="1">
      <c r="Q28" s="313"/>
      <c r="R28" s="313"/>
      <c r="S28" s="1194"/>
      <c r="T28" s="300"/>
      <c r="U28" s="300"/>
      <c r="V28" s="259"/>
      <c r="W28" s="259"/>
      <c r="X28" s="259"/>
      <c r="Y28" s="259"/>
      <c r="Z28" s="259"/>
      <c r="AA28" s="259"/>
      <c r="AB28" s="259"/>
      <c r="AC28" s="259"/>
      <c r="AD28" s="259"/>
      <c r="AE28" s="259"/>
      <c r="AF28" s="259"/>
      <c r="AG28" s="259"/>
      <c r="AH28" s="259"/>
      <c r="AI28" s="259"/>
      <c r="AJ28" s="259"/>
      <c r="AK28" s="259"/>
      <c r="AL28" s="446"/>
      <c r="AS28" s="1074">
        <v>0</v>
      </c>
    </row>
    <row r="29" spans="1:45" s="2254" customFormat="1" ht="25.5" hidden="1" customHeight="1">
      <c r="A29" s="1287"/>
      <c r="B29" s="1287"/>
      <c r="C29" s="1287"/>
      <c r="D29" s="1287"/>
      <c r="E29" s="1287"/>
      <c r="F29" s="1287"/>
      <c r="G29" s="1287"/>
      <c r="H29" s="1287"/>
      <c r="I29" s="1287"/>
      <c r="J29" s="1287"/>
      <c r="K29" s="1287"/>
      <c r="L29" s="1288"/>
      <c r="M29" s="1287"/>
      <c r="N29" s="1287"/>
      <c r="O29" s="1287"/>
      <c r="S29" s="2475" t="s">
        <v>41</v>
      </c>
      <c r="T29" s="2475"/>
      <c r="U29" s="1291"/>
      <c r="V29" s="2476" t="str">
        <f>IF(TITLE_NAME_OR_PR_CHANGE="",IF(TITLE_NAME_OR_PR="","",TITLE_NAME_OR_PR),TITLE_NAME_OR_PR_CHANGE)</f>
        <v/>
      </c>
      <c r="W29" s="2476"/>
      <c r="X29" s="2476"/>
      <c r="Y29" s="2476"/>
      <c r="Z29" s="2476"/>
      <c r="AA29" s="2476"/>
      <c r="AB29" s="2476"/>
      <c r="AC29" s="263"/>
      <c r="AD29" s="2476" t="str">
        <f>IF(TITLE_NAME_OR_PR_CHANGE="",IF(TITLE_NAME_OR_PR="","",TITLE_NAME_OR_PR),TITLE_NAME_OR_PR_CHANGE)</f>
        <v/>
      </c>
      <c r="AE29" s="2476"/>
      <c r="AF29" s="2476"/>
      <c r="AG29" s="2476"/>
      <c r="AH29" s="2476"/>
      <c r="AI29" s="2476"/>
      <c r="AJ29" s="2476"/>
      <c r="AK29" s="263"/>
      <c r="AL29" s="263"/>
      <c r="AM29" s="217"/>
      <c r="AN29" s="305"/>
      <c r="AO29" s="305"/>
      <c r="AP29" s="305"/>
      <c r="AQ29" s="305"/>
      <c r="AR29" s="305"/>
      <c r="AS29" s="355">
        <v>0</v>
      </c>
    </row>
    <row r="30" spans="1:45" s="2254" customFormat="1" ht="18.75" hidden="1" customHeight="1">
      <c r="A30" s="1287"/>
      <c r="B30" s="1287"/>
      <c r="C30" s="1287"/>
      <c r="D30" s="1287"/>
      <c r="E30" s="1287"/>
      <c r="F30" s="1287"/>
      <c r="G30" s="1287"/>
      <c r="H30" s="1287"/>
      <c r="I30" s="1287"/>
      <c r="J30" s="1287"/>
      <c r="K30" s="1287"/>
      <c r="L30" s="1288"/>
      <c r="M30" s="1287"/>
      <c r="N30" s="1287"/>
      <c r="O30" s="1287"/>
      <c r="S30" s="2475" t="s">
        <v>421</v>
      </c>
      <c r="T30" s="2475"/>
      <c r="U30" s="1291"/>
      <c r="V30" s="2485" t="str">
        <f>IF(TITLE_DATE_PR_CHANGE="",IF(TITLE_DATE_PR="","",TITLE_DATE_PR),TITLE_DATE_PR_CHANGE)</f>
        <v/>
      </c>
      <c r="W30" s="2485"/>
      <c r="X30" s="2485"/>
      <c r="Y30" s="2485"/>
      <c r="Z30" s="2485"/>
      <c r="AA30" s="2485"/>
      <c r="AB30" s="2485"/>
      <c r="AC30" s="263"/>
      <c r="AD30" s="2485" t="str">
        <f>IF(TITLE_DATE_PR_CHANGE="",IF(TITLE_DATE_PR="","",TITLE_DATE_PR),TITLE_DATE_PR_CHANGE)</f>
        <v/>
      </c>
      <c r="AE30" s="2485"/>
      <c r="AF30" s="2485"/>
      <c r="AG30" s="2485"/>
      <c r="AH30" s="2485"/>
      <c r="AI30" s="2485"/>
      <c r="AJ30" s="2485"/>
      <c r="AK30" s="263"/>
      <c r="AL30" s="263"/>
      <c r="AM30" s="217"/>
      <c r="AN30" s="305"/>
      <c r="AO30" s="305"/>
      <c r="AP30" s="305"/>
      <c r="AQ30" s="305"/>
      <c r="AR30" s="305"/>
      <c r="AS30" s="355">
        <v>0</v>
      </c>
    </row>
    <row r="31" spans="1:45" s="2254" customFormat="1" ht="18.75" hidden="1" customHeight="1">
      <c r="A31" s="1287"/>
      <c r="B31" s="1287"/>
      <c r="C31" s="1287"/>
      <c r="D31" s="1287"/>
      <c r="E31" s="1287"/>
      <c r="F31" s="1287"/>
      <c r="G31" s="1287"/>
      <c r="H31" s="1287"/>
      <c r="I31" s="1287"/>
      <c r="J31" s="1287"/>
      <c r="K31" s="1287"/>
      <c r="L31" s="1288"/>
      <c r="M31" s="1287"/>
      <c r="N31" s="1287"/>
      <c r="O31" s="1287"/>
      <c r="S31" s="2475" t="s">
        <v>422</v>
      </c>
      <c r="T31" s="2475"/>
      <c r="U31" s="1291"/>
      <c r="V31" s="2476" t="str">
        <f>IF(TITLE_NUMBER_PR_CHANGE="",IF(TITLE_NUMBER_PR="","",TITLE_NUMBER_PR),TITLE_NUMBER_PR_CHANGE)</f>
        <v/>
      </c>
      <c r="W31" s="2476"/>
      <c r="X31" s="2476"/>
      <c r="Y31" s="2476"/>
      <c r="Z31" s="2476"/>
      <c r="AA31" s="2476"/>
      <c r="AB31" s="2476"/>
      <c r="AC31" s="263"/>
      <c r="AD31" s="2476" t="str">
        <f>IF(TITLE_NUMBER_PR_CHANGE="",IF(TITLE_NUMBER_PR="","",TITLE_NUMBER_PR),TITLE_NUMBER_PR_CHANGE)</f>
        <v/>
      </c>
      <c r="AE31" s="2476"/>
      <c r="AF31" s="2476"/>
      <c r="AG31" s="2476"/>
      <c r="AH31" s="2476"/>
      <c r="AI31" s="2476"/>
      <c r="AJ31" s="2476"/>
      <c r="AK31" s="263"/>
      <c r="AL31" s="263"/>
      <c r="AM31" s="217"/>
      <c r="AN31" s="305"/>
      <c r="AO31" s="305"/>
      <c r="AP31" s="305"/>
      <c r="AQ31" s="305"/>
      <c r="AR31" s="305"/>
      <c r="AS31" s="355">
        <v>0</v>
      </c>
    </row>
    <row r="32" spans="1:45" s="2254" customFormat="1" ht="18.75" hidden="1" customHeight="1">
      <c r="A32" s="1287"/>
      <c r="B32" s="1287"/>
      <c r="C32" s="1287"/>
      <c r="D32" s="1287"/>
      <c r="E32" s="1287"/>
      <c r="F32" s="1287"/>
      <c r="G32" s="1287"/>
      <c r="H32" s="1287"/>
      <c r="I32" s="1287"/>
      <c r="J32" s="1287"/>
      <c r="K32" s="1287"/>
      <c r="L32" s="1288"/>
      <c r="M32" s="1287"/>
      <c r="N32" s="1287"/>
      <c r="O32" s="1287"/>
      <c r="S32" s="2475" t="s">
        <v>42</v>
      </c>
      <c r="T32" s="2475"/>
      <c r="U32" s="1291"/>
      <c r="V32" s="2476" t="str">
        <f>IF(TITLE_IST_PUB_CHANGE="",IF(TITLE_IST_PUB="","",TITLE_IST_PUB),TITLE_IST_PUB_CHANGE)</f>
        <v/>
      </c>
      <c r="W32" s="2476"/>
      <c r="X32" s="2476"/>
      <c r="Y32" s="2476"/>
      <c r="Z32" s="2476"/>
      <c r="AA32" s="2476"/>
      <c r="AB32" s="2476"/>
      <c r="AC32" s="263"/>
      <c r="AD32" s="2476" t="str">
        <f>IF(TITLE_IST_PUB_CHANGE="",IF(TITLE_IST_PUB="","",TITLE_IST_PUB),TITLE_IST_PUB_CHANGE)</f>
        <v/>
      </c>
      <c r="AE32" s="2476"/>
      <c r="AF32" s="2476"/>
      <c r="AG32" s="2476"/>
      <c r="AH32" s="2476"/>
      <c r="AI32" s="2476"/>
      <c r="AJ32" s="2476"/>
      <c r="AK32" s="263"/>
      <c r="AL32" s="263"/>
      <c r="AM32" s="217"/>
      <c r="AN32" s="305"/>
      <c r="AO32" s="305"/>
      <c r="AP32" s="305"/>
      <c r="AQ32" s="305"/>
      <c r="AR32" s="305"/>
      <c r="AS32" s="355">
        <v>0</v>
      </c>
    </row>
    <row r="33" spans="1:45" ht="14.25" hidden="1" customHeight="1">
      <c r="Q33" s="313"/>
      <c r="R33" s="313"/>
      <c r="S33" s="1194"/>
      <c r="T33" s="300"/>
      <c r="U33" s="300"/>
      <c r="V33" s="259"/>
      <c r="W33" s="259"/>
      <c r="X33" s="259"/>
      <c r="Y33" s="259"/>
      <c r="Z33" s="259"/>
      <c r="AA33" s="259"/>
      <c r="AB33" s="259"/>
      <c r="AC33" s="259"/>
      <c r="AD33" s="259"/>
      <c r="AE33" s="259"/>
      <c r="AF33" s="259"/>
      <c r="AG33" s="259"/>
      <c r="AH33" s="259"/>
      <c r="AI33" s="259"/>
      <c r="AJ33" s="259"/>
      <c r="AK33" s="259"/>
      <c r="AL33" s="446"/>
      <c r="AS33" s="1074">
        <v>0</v>
      </c>
    </row>
    <row r="34" spans="1:45" s="2254" customFormat="1" ht="18.75" hidden="1" customHeight="1">
      <c r="A34" s="1287"/>
      <c r="B34" s="1287"/>
      <c r="C34" s="1287"/>
      <c r="D34" s="1287"/>
      <c r="E34" s="1287"/>
      <c r="F34" s="1287"/>
      <c r="G34" s="1287"/>
      <c r="H34" s="1287"/>
      <c r="I34" s="1287"/>
      <c r="J34" s="1287"/>
      <c r="K34" s="1287"/>
      <c r="L34" s="1288"/>
      <c r="M34" s="1287"/>
      <c r="N34" s="1287"/>
      <c r="O34" s="1287"/>
      <c r="S34" s="2475" t="s">
        <v>423</v>
      </c>
      <c r="T34" s="2475"/>
      <c r="U34" s="1291"/>
      <c r="V34" s="2485" t="str">
        <f>IF(TITLE_DATE_PR_CHANGE="",IF(TITLE_DATE_PR="","",TITLE_DATE_PR),TITLE_DATE_PR_CHANGE)</f>
        <v/>
      </c>
      <c r="W34" s="2485"/>
      <c r="X34" s="2485"/>
      <c r="Y34" s="2485"/>
      <c r="Z34" s="2485"/>
      <c r="AA34" s="2485"/>
      <c r="AB34" s="2485"/>
      <c r="AC34" s="263"/>
      <c r="AD34" s="2485" t="str">
        <f>IF(TITLE_DATE_PR_CHANGE="",IF(TITLE_DATE_PR="","",TITLE_DATE_PR),TITLE_DATE_PR_CHANGE)</f>
        <v/>
      </c>
      <c r="AE34" s="2485"/>
      <c r="AF34" s="2485"/>
      <c r="AG34" s="2485"/>
      <c r="AH34" s="2485"/>
      <c r="AI34" s="2485"/>
      <c r="AJ34" s="2485"/>
      <c r="AK34" s="263"/>
      <c r="AL34" s="263"/>
      <c r="AM34" s="217"/>
      <c r="AN34" s="305"/>
      <c r="AO34" s="305"/>
      <c r="AP34" s="305"/>
      <c r="AQ34" s="305"/>
      <c r="AR34" s="305"/>
      <c r="AS34" s="355">
        <v>0</v>
      </c>
    </row>
    <row r="35" spans="1:45" s="2254" customFormat="1" ht="18.75" hidden="1" customHeight="1">
      <c r="A35" s="1287"/>
      <c r="B35" s="1287"/>
      <c r="C35" s="1287"/>
      <c r="D35" s="1287"/>
      <c r="E35" s="1287"/>
      <c r="F35" s="1287"/>
      <c r="G35" s="1287"/>
      <c r="H35" s="1287"/>
      <c r="I35" s="1287"/>
      <c r="J35" s="1287"/>
      <c r="K35" s="1287"/>
      <c r="L35" s="1288"/>
      <c r="M35" s="1287"/>
      <c r="N35" s="1287"/>
      <c r="O35" s="1287"/>
      <c r="S35" s="2475" t="s">
        <v>424</v>
      </c>
      <c r="T35" s="2475"/>
      <c r="U35" s="1291"/>
      <c r="V35" s="2476" t="str">
        <f>IF(TITLE_NUMBER_PR_CHANGE="",IF(TITLE_NUMBER_PR="","",TITLE_NUMBER_PR),TITLE_NUMBER_PR_CHANGE)</f>
        <v/>
      </c>
      <c r="W35" s="2476"/>
      <c r="X35" s="2476"/>
      <c r="Y35" s="2476"/>
      <c r="Z35" s="2476"/>
      <c r="AA35" s="2476"/>
      <c r="AB35" s="2476"/>
      <c r="AC35" s="263"/>
      <c r="AD35" s="2476" t="str">
        <f>IF(TITLE_NUMBER_PR_CHANGE="",IF(TITLE_NUMBER_PR="","",TITLE_NUMBER_PR),TITLE_NUMBER_PR_CHANGE)</f>
        <v/>
      </c>
      <c r="AE35" s="2476"/>
      <c r="AF35" s="2476"/>
      <c r="AG35" s="2476"/>
      <c r="AH35" s="2476"/>
      <c r="AI35" s="2476"/>
      <c r="AJ35" s="2476"/>
      <c r="AK35" s="263"/>
      <c r="AL35" s="263"/>
      <c r="AM35" s="217"/>
      <c r="AN35" s="305"/>
      <c r="AO35" s="305"/>
      <c r="AP35" s="305"/>
      <c r="AQ35" s="305"/>
      <c r="AR35" s="305"/>
      <c r="AS35" s="355">
        <v>0</v>
      </c>
    </row>
    <row r="36" spans="1:45" s="2254"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194"/>
      <c r="T37" s="300"/>
      <c r="U37" s="1163"/>
      <c r="V37" s="2477"/>
      <c r="W37" s="2477"/>
      <c r="X37" s="2477"/>
      <c r="Y37" s="2477"/>
      <c r="Z37" s="2477"/>
      <c r="AA37" s="2477"/>
      <c r="AB37" s="2477"/>
      <c r="AC37" s="2477"/>
      <c r="AD37" s="2477"/>
      <c r="AE37" s="2477"/>
      <c r="AF37" s="2477"/>
      <c r="AG37" s="2477"/>
      <c r="AH37" s="2477"/>
      <c r="AI37" s="2477"/>
      <c r="AJ37" s="2477"/>
      <c r="AK37" s="2477"/>
      <c r="AS37" s="1074">
        <v>14</v>
      </c>
    </row>
    <row r="38" spans="1:45" ht="14.65" customHeight="1">
      <c r="Q38" s="313"/>
      <c r="R38" s="313"/>
      <c r="S38" s="2363" t="s">
        <v>298</v>
      </c>
      <c r="T38" s="2363"/>
      <c r="U38" s="2363"/>
      <c r="V38" s="2363"/>
      <c r="W38" s="2363"/>
      <c r="X38" s="2363"/>
      <c r="Y38" s="2363"/>
      <c r="Z38" s="2363"/>
      <c r="AA38" s="2363"/>
      <c r="AB38" s="2363"/>
      <c r="AC38" s="2363"/>
      <c r="AD38" s="2363"/>
      <c r="AE38" s="2363"/>
      <c r="AF38" s="2363"/>
      <c r="AG38" s="2363"/>
      <c r="AH38" s="2363"/>
      <c r="AI38" s="2363"/>
      <c r="AJ38" s="2363"/>
      <c r="AK38" s="2363"/>
      <c r="AL38" s="2363"/>
      <c r="AM38" s="2363" t="s">
        <v>299</v>
      </c>
      <c r="AS38" s="1074">
        <v>14</v>
      </c>
    </row>
    <row r="39" spans="1:45" ht="14.65" customHeight="1">
      <c r="Q39" s="313"/>
      <c r="R39" s="313"/>
      <c r="S39" s="2491" t="s">
        <v>87</v>
      </c>
      <c r="T39" s="2442" t="s">
        <v>426</v>
      </c>
      <c r="U39" s="238"/>
      <c r="V39" s="2492" t="s">
        <v>427</v>
      </c>
      <c r="W39" s="2493"/>
      <c r="X39" s="2493"/>
      <c r="Y39" s="2493"/>
      <c r="Z39" s="2493"/>
      <c r="AA39" s="2493"/>
      <c r="AB39" s="2494"/>
      <c r="AC39" s="2495" t="s">
        <v>428</v>
      </c>
      <c r="AD39" s="2492" t="s">
        <v>427</v>
      </c>
      <c r="AE39" s="2493"/>
      <c r="AF39" s="2493"/>
      <c r="AG39" s="2493"/>
      <c r="AH39" s="2493"/>
      <c r="AI39" s="2493"/>
      <c r="AJ39" s="2494"/>
      <c r="AK39" s="2495" t="s">
        <v>429</v>
      </c>
      <c r="AL39" s="2498" t="s">
        <v>430</v>
      </c>
      <c r="AM39" s="2363"/>
      <c r="AS39" s="1074">
        <v>14</v>
      </c>
    </row>
    <row r="40" spans="1:45" ht="35.65" customHeight="1">
      <c r="Q40" s="313"/>
      <c r="R40" s="313"/>
      <c r="S40" s="2491"/>
      <c r="T40" s="2442"/>
      <c r="U40" s="955"/>
      <c r="V40" s="2411" t="s">
        <v>431</v>
      </c>
      <c r="W40" s="2501" t="s">
        <v>432</v>
      </c>
      <c r="X40" s="2335" t="s">
        <v>433</v>
      </c>
      <c r="Y40" s="2334"/>
      <c r="Z40" s="2335" t="s">
        <v>447</v>
      </c>
      <c r="AA40" s="2340"/>
      <c r="AB40" s="2334"/>
      <c r="AC40" s="2496"/>
      <c r="AD40" s="2411" t="s">
        <v>431</v>
      </c>
      <c r="AE40" s="2501" t="s">
        <v>432</v>
      </c>
      <c r="AF40" s="2335" t="s">
        <v>433</v>
      </c>
      <c r="AG40" s="2334"/>
      <c r="AH40" s="2335" t="s">
        <v>434</v>
      </c>
      <c r="AI40" s="2340"/>
      <c r="AJ40" s="2334"/>
      <c r="AK40" s="2496"/>
      <c r="AL40" s="2499"/>
      <c r="AM40" s="2363"/>
      <c r="AS40" s="1074">
        <v>34</v>
      </c>
    </row>
    <row r="41" spans="1:45" ht="35.65" customHeight="1">
      <c r="A41" s="1289"/>
      <c r="B41" s="1289" t="s">
        <v>135</v>
      </c>
      <c r="C41" s="1289" t="s">
        <v>136</v>
      </c>
      <c r="D41" s="1289" t="s">
        <v>137</v>
      </c>
      <c r="E41" s="1283" t="s">
        <v>435</v>
      </c>
      <c r="F41" s="1283" t="s">
        <v>436</v>
      </c>
      <c r="G41" s="1283" t="s">
        <v>437</v>
      </c>
      <c r="H41" s="1283" t="s">
        <v>438</v>
      </c>
      <c r="I41" s="1283" t="s">
        <v>439</v>
      </c>
      <c r="J41" s="1283" t="s">
        <v>440</v>
      </c>
      <c r="K41" s="1283" t="s">
        <v>441</v>
      </c>
      <c r="L41" s="1283" t="s">
        <v>416</v>
      </c>
      <c r="Q41" s="313"/>
      <c r="R41" s="313"/>
      <c r="S41" s="2491"/>
      <c r="T41" s="2442"/>
      <c r="U41" s="239"/>
      <c r="V41" s="2462"/>
      <c r="W41" s="2502"/>
      <c r="X41" s="1141" t="s">
        <v>442</v>
      </c>
      <c r="Y41" s="1141" t="s">
        <v>443</v>
      </c>
      <c r="Z41" s="1257" t="s">
        <v>444</v>
      </c>
      <c r="AA41" s="2451" t="s">
        <v>445</v>
      </c>
      <c r="AB41" s="2453"/>
      <c r="AC41" s="2497"/>
      <c r="AD41" s="2462"/>
      <c r="AE41" s="2502"/>
      <c r="AF41" s="1141" t="s">
        <v>442</v>
      </c>
      <c r="AG41" s="1141" t="s">
        <v>443</v>
      </c>
      <c r="AH41" s="1257" t="s">
        <v>444</v>
      </c>
      <c r="AI41" s="2451" t="s">
        <v>445</v>
      </c>
      <c r="AJ41" s="2453"/>
      <c r="AK41" s="2497"/>
      <c r="AL41" s="2500"/>
      <c r="AM41" s="2363"/>
      <c r="AS41" s="1074">
        <v>34</v>
      </c>
    </row>
    <row r="42" spans="1:45" s="2269"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108</v>
      </c>
      <c r="T42" s="1174" t="s">
        <v>109</v>
      </c>
      <c r="U42" s="1164" t="str">
        <f ca="1">OFFSET(U42,0,-1)</f>
        <v>2</v>
      </c>
      <c r="V42" s="1254">
        <f ca="1">OFFSET(V42,0,-1)+1</f>
        <v>3</v>
      </c>
      <c r="W42" s="1254"/>
      <c r="X42" s="1254">
        <f ca="1">OFFSET(X42,0,-1)+1</f>
        <v>1</v>
      </c>
      <c r="Y42" s="1254">
        <f ca="1">OFFSET(Y42,0,-1)+1</f>
        <v>2</v>
      </c>
      <c r="Z42" s="1254">
        <f ca="1">OFFSET(Z42,0,-1)+1</f>
        <v>3</v>
      </c>
      <c r="AA42" s="2490">
        <f ca="1">OFFSET(AA42,0,-1)+1</f>
        <v>4</v>
      </c>
      <c r="AB42" s="2490"/>
      <c r="AC42" s="1254">
        <f ca="1">OFFSET(AC42,0,-2)+1</f>
        <v>5</v>
      </c>
      <c r="AD42" s="1254">
        <f ca="1">OFFSET(AD42,0,-1)+1</f>
        <v>6</v>
      </c>
      <c r="AE42" s="1254"/>
      <c r="AF42" s="1254">
        <f ca="1">OFFSET(AF42,0,-1)+1</f>
        <v>1</v>
      </c>
      <c r="AG42" s="1254">
        <f ca="1">OFFSET(AG42,0,-1)+1</f>
        <v>2</v>
      </c>
      <c r="AH42" s="1254">
        <f ca="1">OFFSET(AH42,0,-1)+1</f>
        <v>3</v>
      </c>
      <c r="AI42" s="2490">
        <f ca="1">OFFSET(AI42,0,-1)+1</f>
        <v>4</v>
      </c>
      <c r="AJ42" s="2490"/>
      <c r="AK42" s="1254">
        <f ca="1">OFFSET(AK42,0,-2)+1</f>
        <v>5</v>
      </c>
      <c r="AL42" s="1164">
        <f ca="1">OFFSET(AL42,0,-1)</f>
        <v>5</v>
      </c>
      <c r="AM42" s="1254">
        <f ca="1">OFFSET(AM42,0,-1)+1</f>
        <v>6</v>
      </c>
      <c r="AN42" s="448"/>
      <c r="AO42" s="448"/>
      <c r="AP42" s="448"/>
      <c r="AQ42" s="448"/>
      <c r="AR42" s="448"/>
      <c r="AS42" s="433">
        <v>0</v>
      </c>
    </row>
    <row r="43" spans="1:45" ht="21.95" customHeight="1">
      <c r="A43" s="1282" t="s">
        <v>161</v>
      </c>
      <c r="B43" s="1282"/>
      <c r="C43" s="1282"/>
      <c r="D43" s="1282"/>
      <c r="E43" s="2483">
        <v>1</v>
      </c>
      <c r="F43" s="1282"/>
      <c r="G43" s="1282"/>
      <c r="H43" s="1282"/>
      <c r="I43" s="1282"/>
      <c r="J43" s="1282"/>
      <c r="K43" s="1282"/>
      <c r="L43" s="1283"/>
      <c r="M43" s="1284"/>
      <c r="N43" s="1284"/>
      <c r="O43" s="1284"/>
      <c r="P43" s="298"/>
      <c r="Q43" s="297"/>
      <c r="R43" s="292"/>
      <c r="S43" s="1255">
        <f>INDEX(PT_DIFFERENTIATION_NUM_NTAR,MATCH(A43,PT_DIFFERENTIATION_NTAR_ID,0))</f>
        <v>0</v>
      </c>
      <c r="T43" s="235" t="s">
        <v>123</v>
      </c>
      <c r="U43" s="237"/>
      <c r="V43" s="2469"/>
      <c r="W43" s="2470"/>
      <c r="X43" s="2470"/>
      <c r="Y43" s="2470"/>
      <c r="Z43" s="2470"/>
      <c r="AA43" s="2470"/>
      <c r="AB43" s="2470"/>
      <c r="AC43" s="2471"/>
      <c r="AD43" s="2469" t="str">
        <f>INDEX(PT_DIFFERENTIATION_NTAR,MATCH(A43,PT_DIFFERENTIATION_NTAR_ID,0))</f>
        <v/>
      </c>
      <c r="AE43" s="2470"/>
      <c r="AF43" s="2470"/>
      <c r="AG43" s="2470"/>
      <c r="AH43" s="2470"/>
      <c r="AI43" s="2470"/>
      <c r="AJ43" s="2470"/>
      <c r="AK43" s="2470"/>
      <c r="AL43" s="2471"/>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4">
        <v>21</v>
      </c>
    </row>
    <row r="44" spans="1:45" ht="21.95" customHeight="1">
      <c r="A44" s="1282" t="s">
        <v>161</v>
      </c>
      <c r="B44" s="1282" t="s">
        <v>162</v>
      </c>
      <c r="C44" s="1282"/>
      <c r="D44" s="1282"/>
      <c r="E44" s="2484"/>
      <c r="F44" s="2483">
        <v>1</v>
      </c>
      <c r="G44" s="1282"/>
      <c r="H44" s="1282"/>
      <c r="I44" s="1282"/>
      <c r="J44" s="1282"/>
      <c r="K44" s="1282"/>
      <c r="L44" s="1283"/>
      <c r="M44" s="1284"/>
      <c r="N44" s="1284"/>
      <c r="O44" s="1284"/>
      <c r="P44" s="1251"/>
      <c r="Q44" s="289"/>
      <c r="R44" s="290"/>
      <c r="S44" s="1255" t="str">
        <f>INDEX(PT_DIFFERENTIATION_NUM_TER,MATCH(B44,PT_DIFFERENTIATION_TER_ID,0))</f>
        <v>.</v>
      </c>
      <c r="T44" s="245" t="s">
        <v>395</v>
      </c>
      <c r="U44" s="237"/>
      <c r="V44" s="2469"/>
      <c r="W44" s="2470"/>
      <c r="X44" s="2470"/>
      <c r="Y44" s="2470"/>
      <c r="Z44" s="2470"/>
      <c r="AA44" s="2470"/>
      <c r="AB44" s="2470"/>
      <c r="AC44" s="2471"/>
      <c r="AD44" s="2469" t="str">
        <f>INDEX(PT_DIFFERENTIATION_TER,MATCH(B44,PT_DIFFERENTIATION_TER_ID,0))</f>
        <v/>
      </c>
      <c r="AE44" s="2470"/>
      <c r="AF44" s="2470"/>
      <c r="AG44" s="2470"/>
      <c r="AH44" s="2470"/>
      <c r="AI44" s="2470"/>
      <c r="AJ44" s="2470"/>
      <c r="AK44" s="2470"/>
      <c r="AL44" s="2471"/>
      <c r="AM44" s="1177" t="s">
        <v>396</v>
      </c>
      <c r="AO44" s="437"/>
      <c r="AP44" s="437" t="str">
        <f t="shared" si="1"/>
        <v>Территория действия тарифа</v>
      </c>
      <c r="AQ44" s="437"/>
      <c r="AR44" s="437"/>
      <c r="AS44" s="1074">
        <v>21</v>
      </c>
    </row>
    <row r="45" spans="1:45" ht="24" customHeight="1">
      <c r="A45" s="1282" t="s">
        <v>161</v>
      </c>
      <c r="B45" s="1282" t="s">
        <v>162</v>
      </c>
      <c r="C45" s="1282" t="s">
        <v>163</v>
      </c>
      <c r="D45" s="1282"/>
      <c r="E45" s="2484"/>
      <c r="F45" s="2484"/>
      <c r="G45" s="2483">
        <v>1</v>
      </c>
      <c r="H45" s="1282"/>
      <c r="I45" s="1282"/>
      <c r="J45" s="1282"/>
      <c r="K45" s="1282"/>
      <c r="L45" s="1283"/>
      <c r="M45" s="1284"/>
      <c r="N45" s="1284"/>
      <c r="O45" s="1284"/>
      <c r="P45" s="291"/>
      <c r="Q45" s="289"/>
      <c r="R45" s="290"/>
      <c r="S45" s="1255" t="str">
        <f>INDEX(PT_DIFFERENTIATION_NUM_CS,MATCH(C45,PT_DIFFERENTIATION_CS_ID,0))</f>
        <v>..</v>
      </c>
      <c r="T45" s="246" t="s">
        <v>397</v>
      </c>
      <c r="U45" s="237"/>
      <c r="V45" s="2469"/>
      <c r="W45" s="2470"/>
      <c r="X45" s="2470"/>
      <c r="Y45" s="2470"/>
      <c r="Z45" s="2470"/>
      <c r="AA45" s="2470"/>
      <c r="AB45" s="2470"/>
      <c r="AC45" s="2471"/>
      <c r="AD45" s="2469" t="str">
        <f>INDEX(PT_DIFFERENTIATION_CS,MATCH(C45,PT_DIFFERENTIATION_CS_ID,0))</f>
        <v/>
      </c>
      <c r="AE45" s="2470"/>
      <c r="AF45" s="2470"/>
      <c r="AG45" s="2470"/>
      <c r="AH45" s="2470"/>
      <c r="AI45" s="2470"/>
      <c r="AJ45" s="2470"/>
      <c r="AK45" s="2470"/>
      <c r="AL45" s="2471"/>
      <c r="AM45" s="1177" t="s">
        <v>398</v>
      </c>
      <c r="AO45" s="437"/>
      <c r="AP45" s="437" t="str">
        <f t="shared" si="1"/>
        <v xml:space="preserve">Наименование системы теплоснабжения </v>
      </c>
      <c r="AQ45" s="437"/>
      <c r="AR45" s="437"/>
      <c r="AS45" s="1074">
        <v>23</v>
      </c>
    </row>
    <row r="46" spans="1:45" ht="21.95" customHeight="1">
      <c r="A46" s="1282" t="s">
        <v>161</v>
      </c>
      <c r="B46" s="1282" t="s">
        <v>162</v>
      </c>
      <c r="C46" s="1282" t="s">
        <v>163</v>
      </c>
      <c r="D46" s="1282" t="s">
        <v>164</v>
      </c>
      <c r="E46" s="2484"/>
      <c r="F46" s="2484"/>
      <c r="G46" s="2484"/>
      <c r="H46" s="2483">
        <v>1</v>
      </c>
      <c r="I46" s="1282"/>
      <c r="J46" s="1282"/>
      <c r="K46" s="1282"/>
      <c r="L46" s="1283"/>
      <c r="M46" s="1284"/>
      <c r="N46" s="1284"/>
      <c r="O46" s="1284"/>
      <c r="P46" s="291"/>
      <c r="Q46" s="289"/>
      <c r="R46" s="290"/>
      <c r="S46" s="1255" t="str">
        <f>INDEX(PT_DIFFERENTIATION_NUM_IST_TE,MATCH(D46,PT_DIFFERENTIATION_IST_TE_ID,0))</f>
        <v>...</v>
      </c>
      <c r="T46" s="247" t="s">
        <v>399</v>
      </c>
      <c r="U46" s="237"/>
      <c r="V46" s="2469"/>
      <c r="W46" s="2470"/>
      <c r="X46" s="2470"/>
      <c r="Y46" s="2470"/>
      <c r="Z46" s="2470"/>
      <c r="AA46" s="2470"/>
      <c r="AB46" s="2470"/>
      <c r="AC46" s="2471"/>
      <c r="AD46" s="2469" t="str">
        <f>INDEX(PT_DIFFERENTIATION_IST_TE,MATCH(D46,PT_DIFFERENTIATION_IST_TE_ID,0))</f>
        <v/>
      </c>
      <c r="AE46" s="2470"/>
      <c r="AF46" s="2470"/>
      <c r="AG46" s="2470"/>
      <c r="AH46" s="2470"/>
      <c r="AI46" s="2470"/>
      <c r="AJ46" s="2470"/>
      <c r="AK46" s="2470"/>
      <c r="AL46" s="2471"/>
      <c r="AM46" s="1177" t="s">
        <v>400</v>
      </c>
      <c r="AO46" s="437"/>
      <c r="AP46" s="437" t="str">
        <f t="shared" si="1"/>
        <v xml:space="preserve">Источник тепловой энергии  </v>
      </c>
      <c r="AQ46" s="437"/>
      <c r="AR46" s="437"/>
      <c r="AS46" s="1074">
        <v>21</v>
      </c>
    </row>
    <row r="47" spans="1:45" ht="49.5" customHeight="1">
      <c r="A47" s="1282" t="s">
        <v>161</v>
      </c>
      <c r="B47" s="1282" t="s">
        <v>162</v>
      </c>
      <c r="C47" s="1282" t="s">
        <v>163</v>
      </c>
      <c r="D47" s="1282" t="s">
        <v>164</v>
      </c>
      <c r="E47" s="2484"/>
      <c r="F47" s="2484"/>
      <c r="G47" s="2484"/>
      <c r="H47" s="2484"/>
      <c r="I47" s="2481" t="str">
        <f>S46&amp;".1"</f>
        <v>....1</v>
      </c>
      <c r="J47" s="1282"/>
      <c r="K47" s="1282"/>
      <c r="L47" s="1283" t="s">
        <v>401</v>
      </c>
      <c r="P47" s="2482">
        <v>1</v>
      </c>
      <c r="Q47" s="1250"/>
      <c r="R47" s="293"/>
      <c r="S47" s="1255" t="str">
        <f>$I47</f>
        <v>....1</v>
      </c>
      <c r="T47" s="222" t="s">
        <v>402</v>
      </c>
      <c r="U47" s="237"/>
      <c r="V47" s="2472"/>
      <c r="W47" s="2473"/>
      <c r="X47" s="2473"/>
      <c r="Y47" s="2473"/>
      <c r="Z47" s="2473"/>
      <c r="AA47" s="2473"/>
      <c r="AB47" s="2473"/>
      <c r="AC47" s="2474"/>
      <c r="AD47" s="2472"/>
      <c r="AE47" s="2473"/>
      <c r="AF47" s="2473"/>
      <c r="AG47" s="2473"/>
      <c r="AH47" s="2473"/>
      <c r="AI47" s="2473"/>
      <c r="AJ47" s="2473"/>
      <c r="AK47" s="2473"/>
      <c r="AL47" s="2474"/>
      <c r="AM47" s="1177" t="s">
        <v>403</v>
      </c>
      <c r="AO47" s="437"/>
      <c r="AP47" s="437" t="str">
        <f t="shared" si="1"/>
        <v>Схема подключения теплопотребляющей установки к коллектору источника тепловой энергии</v>
      </c>
      <c r="AQ47" s="437"/>
      <c r="AR47" s="437"/>
      <c r="AS47" s="1074">
        <v>47</v>
      </c>
    </row>
    <row r="48" spans="1:45" ht="21.95" customHeight="1">
      <c r="A48" s="1282" t="s">
        <v>161</v>
      </c>
      <c r="B48" s="1282" t="s">
        <v>162</v>
      </c>
      <c r="C48" s="1282" t="s">
        <v>163</v>
      </c>
      <c r="D48" s="1282" t="s">
        <v>164</v>
      </c>
      <c r="E48" s="2484"/>
      <c r="F48" s="2484"/>
      <c r="G48" s="2484"/>
      <c r="H48" s="2484"/>
      <c r="I48" s="2504"/>
      <c r="J48" s="2481" t="str">
        <f>I47&amp;".1"</f>
        <v>....1.1</v>
      </c>
      <c r="K48" s="1282"/>
      <c r="L48" s="1283" t="s">
        <v>404</v>
      </c>
      <c r="P48" s="2482"/>
      <c r="Q48" s="2482">
        <v>1</v>
      </c>
      <c r="R48" s="294"/>
      <c r="S48" s="1255" t="str">
        <f>$J48</f>
        <v>....1.1</v>
      </c>
      <c r="T48" s="223" t="s">
        <v>405</v>
      </c>
      <c r="U48" s="237"/>
      <c r="V48" s="2472"/>
      <c r="W48" s="2473"/>
      <c r="X48" s="2473"/>
      <c r="Y48" s="2473"/>
      <c r="Z48" s="2473"/>
      <c r="AA48" s="2473"/>
      <c r="AB48" s="2473"/>
      <c r="AC48" s="2474"/>
      <c r="AD48" s="2472"/>
      <c r="AE48" s="2473"/>
      <c r="AF48" s="2473"/>
      <c r="AG48" s="2473"/>
      <c r="AH48" s="2473"/>
      <c r="AI48" s="2473"/>
      <c r="AJ48" s="2473"/>
      <c r="AK48" s="2473"/>
      <c r="AL48" s="2474"/>
      <c r="AM48" s="1177" t="s">
        <v>406</v>
      </c>
      <c r="AO48" s="437"/>
      <c r="AP48" s="437" t="str">
        <f t="shared" si="1"/>
        <v>Группа потребителей</v>
      </c>
      <c r="AQ48" s="437"/>
      <c r="AR48" s="437"/>
      <c r="AS48" s="1074">
        <v>21</v>
      </c>
    </row>
    <row r="49" spans="1:45" ht="21.95" customHeight="1">
      <c r="A49" s="1282" t="s">
        <v>161</v>
      </c>
      <c r="B49" s="1282" t="s">
        <v>162</v>
      </c>
      <c r="C49" s="1282" t="s">
        <v>163</v>
      </c>
      <c r="D49" s="1282" t="s">
        <v>164</v>
      </c>
      <c r="E49" s="2484"/>
      <c r="F49" s="2484"/>
      <c r="G49" s="2484"/>
      <c r="H49" s="2484"/>
      <c r="I49" s="2504"/>
      <c r="J49" s="2504"/>
      <c r="K49" s="2481" t="str">
        <f>J48&amp;".1"</f>
        <v>....1.1.1</v>
      </c>
      <c r="L49" s="1283" t="s">
        <v>407</v>
      </c>
      <c r="P49" s="2482"/>
      <c r="Q49" s="2482"/>
      <c r="R49" s="294">
        <v>1</v>
      </c>
      <c r="S49" s="1255" t="str">
        <f>$K49</f>
        <v>....1.1.1</v>
      </c>
      <c r="T49" s="1266"/>
      <c r="U49" s="237"/>
      <c r="V49" s="688"/>
      <c r="W49" s="262"/>
      <c r="X49" s="688"/>
      <c r="Y49" s="1176"/>
      <c r="Z49" s="2486"/>
      <c r="AA49" s="2344" t="s">
        <v>64</v>
      </c>
      <c r="AB49" s="2486"/>
      <c r="AC49" s="2344" t="s">
        <v>64</v>
      </c>
      <c r="AD49" s="688"/>
      <c r="AE49" s="262"/>
      <c r="AF49" s="688"/>
      <c r="AG49" s="1176"/>
      <c r="AH49" s="2486"/>
      <c r="AI49" s="2344" t="s">
        <v>64</v>
      </c>
      <c r="AJ49" s="2505"/>
      <c r="AK49" s="2344" t="s">
        <v>64</v>
      </c>
      <c r="AL49" s="1267"/>
      <c r="AM49" s="2478" t="s">
        <v>408</v>
      </c>
      <c r="AN49" s="448" t="e">
        <f ca="1">STRCHECKDATE(V50:AL50)</f>
        <v>#NAME?</v>
      </c>
      <c r="AO49" s="437"/>
      <c r="AP49" s="437" t="str">
        <f t="shared" si="1"/>
        <v/>
      </c>
      <c r="AQ49" s="437"/>
      <c r="AR49" s="437"/>
      <c r="AS49" s="1074">
        <v>21</v>
      </c>
    </row>
    <row r="50" spans="1:45" ht="1.1499999999999999" customHeight="1">
      <c r="A50" s="1282" t="s">
        <v>161</v>
      </c>
      <c r="B50" s="1282" t="s">
        <v>162</v>
      </c>
      <c r="C50" s="1282" t="s">
        <v>163</v>
      </c>
      <c r="D50" s="1282" t="s">
        <v>164</v>
      </c>
      <c r="E50" s="2484"/>
      <c r="F50" s="2484"/>
      <c r="G50" s="2484"/>
      <c r="H50" s="2484"/>
      <c r="I50" s="2504"/>
      <c r="J50" s="2504"/>
      <c r="K50" s="2481"/>
      <c r="L50" s="1283"/>
      <c r="P50" s="2482"/>
      <c r="Q50" s="2482"/>
      <c r="R50" s="294"/>
      <c r="S50" s="1261"/>
      <c r="T50" s="237"/>
      <c r="U50" s="237"/>
      <c r="V50" s="262"/>
      <c r="W50" s="262"/>
      <c r="X50" s="262"/>
      <c r="Y50" s="265" t="str">
        <f>Z49&amp;"-"&amp;AB49</f>
        <v>-</v>
      </c>
      <c r="Z50" s="2487"/>
      <c r="AA50" s="2344"/>
      <c r="AB50" s="2487"/>
      <c r="AC50" s="2344"/>
      <c r="AD50" s="262"/>
      <c r="AE50" s="262"/>
      <c r="AF50" s="262"/>
      <c r="AG50" s="265" t="str">
        <f>AH49&amp;"-"&amp;AJ49</f>
        <v>-</v>
      </c>
      <c r="AH50" s="2487"/>
      <c r="AI50" s="2344"/>
      <c r="AJ50" s="2506"/>
      <c r="AK50" s="2344"/>
      <c r="AL50" s="1268"/>
      <c r="AM50" s="2479"/>
      <c r="AO50" s="437"/>
      <c r="AP50" s="437" t="str">
        <f t="shared" si="1"/>
        <v/>
      </c>
      <c r="AQ50" s="437"/>
      <c r="AR50" s="437"/>
      <c r="AS50" s="1074">
        <v>1</v>
      </c>
    </row>
    <row r="51" spans="1:45" ht="11.45" customHeight="1">
      <c r="A51" s="1282" t="s">
        <v>161</v>
      </c>
      <c r="B51" s="1282" t="s">
        <v>162</v>
      </c>
      <c r="C51" s="1282" t="s">
        <v>163</v>
      </c>
      <c r="D51" s="1282" t="s">
        <v>164</v>
      </c>
      <c r="E51" s="2484"/>
      <c r="F51" s="2484"/>
      <c r="G51" s="2484"/>
      <c r="H51" s="2484"/>
      <c r="I51" s="2504"/>
      <c r="J51" s="2481"/>
      <c r="K51" s="1282"/>
      <c r="L51" s="1283"/>
      <c r="P51" s="2482"/>
      <c r="Q51" s="2482"/>
      <c r="R51" s="293"/>
      <c r="S51" s="1197"/>
      <c r="T51" s="225" t="s">
        <v>409</v>
      </c>
      <c r="U51" s="304"/>
      <c r="V51" s="304"/>
      <c r="W51" s="304"/>
      <c r="X51" s="304"/>
      <c r="Y51" s="304"/>
      <c r="Z51" s="304"/>
      <c r="AA51" s="304"/>
      <c r="AB51" s="304"/>
      <c r="AC51" s="304"/>
      <c r="AD51" s="304"/>
      <c r="AE51" s="304"/>
      <c r="AF51" s="304"/>
      <c r="AG51" s="304"/>
      <c r="AH51" s="304"/>
      <c r="AI51" s="304"/>
      <c r="AJ51" s="304"/>
      <c r="AK51" s="304"/>
      <c r="AL51" s="261"/>
      <c r="AM51" s="2480"/>
      <c r="AO51" s="437"/>
      <c r="AP51" s="437" t="str">
        <f t="shared" si="1"/>
        <v>Добавить вид теплоносителя (параметры теплоносителя)</v>
      </c>
      <c r="AQ51" s="437"/>
      <c r="AR51" s="437"/>
      <c r="AS51" s="1074">
        <v>11</v>
      </c>
    </row>
    <row r="52" spans="1:45" ht="11.45" customHeight="1">
      <c r="A52" s="1282" t="s">
        <v>161</v>
      </c>
      <c r="B52" s="1282" t="s">
        <v>162</v>
      </c>
      <c r="C52" s="1282" t="s">
        <v>163</v>
      </c>
      <c r="D52" s="1282" t="s">
        <v>164</v>
      </c>
      <c r="E52" s="2484"/>
      <c r="F52" s="2484"/>
      <c r="G52" s="2484"/>
      <c r="H52" s="2484"/>
      <c r="I52" s="2481"/>
      <c r="J52" s="1282"/>
      <c r="K52" s="1282"/>
      <c r="L52" s="1283"/>
      <c r="P52" s="2482"/>
      <c r="Q52" s="1250"/>
      <c r="R52" s="293"/>
      <c r="S52" s="1197"/>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4">
        <v>11</v>
      </c>
    </row>
    <row r="53" spans="1:45" ht="14.65" customHeight="1">
      <c r="A53" s="1282" t="s">
        <v>161</v>
      </c>
      <c r="B53" s="1282" t="s">
        <v>162</v>
      </c>
      <c r="C53" s="1282" t="s">
        <v>163</v>
      </c>
      <c r="D53" s="1282" t="s">
        <v>164</v>
      </c>
      <c r="E53" s="2484"/>
      <c r="F53" s="2484"/>
      <c r="G53" s="2484"/>
      <c r="H53" s="2483"/>
      <c r="I53" s="1282"/>
      <c r="J53" s="1282"/>
      <c r="K53" s="1282"/>
      <c r="L53" s="1283"/>
      <c r="M53" s="1284"/>
      <c r="N53" s="1284"/>
      <c r="O53" s="474"/>
      <c r="P53" s="297"/>
      <c r="Q53" s="312"/>
      <c r="R53" s="292"/>
      <c r="S53" s="1197"/>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74">
        <v>14</v>
      </c>
    </row>
    <row r="54" spans="1:45" s="2245" customFormat="1" ht="1.1499999999999999" customHeight="1">
      <c r="A54" s="1262" t="s">
        <v>161</v>
      </c>
      <c r="B54" s="1262" t="s">
        <v>162</v>
      </c>
      <c r="C54" s="1262" t="s">
        <v>163</v>
      </c>
      <c r="D54" s="1233"/>
      <c r="E54" s="2484"/>
      <c r="F54" s="2484"/>
      <c r="G54" s="2483"/>
      <c r="H54" s="1233"/>
      <c r="I54" s="1233"/>
      <c r="J54" s="1233"/>
      <c r="K54" s="1233"/>
      <c r="L54" s="1258"/>
      <c r="M54" s="1234"/>
      <c r="N54" s="1234"/>
      <c r="P54" s="1235"/>
      <c r="Q54" s="1236"/>
      <c r="R54" s="1235"/>
      <c r="S54" s="1241"/>
      <c r="T54" s="1244" t="s">
        <v>412</v>
      </c>
      <c r="U54" s="1243"/>
      <c r="V54" s="1243"/>
      <c r="W54" s="1243"/>
      <c r="X54" s="1243"/>
      <c r="Y54" s="1243"/>
      <c r="Z54" s="1243"/>
      <c r="AA54" s="1243"/>
      <c r="AB54" s="1243"/>
      <c r="AC54" s="1243"/>
      <c r="AD54" s="1243"/>
      <c r="AE54" s="1243"/>
      <c r="AF54" s="1243"/>
      <c r="AG54" s="1243"/>
      <c r="AH54" s="1243"/>
      <c r="AI54" s="1243"/>
      <c r="AJ54" s="1243"/>
      <c r="AK54" s="1243"/>
      <c r="AL54" s="1243"/>
      <c r="AM54" s="1243"/>
      <c r="AO54" s="720"/>
      <c r="AP54" s="720" t="str">
        <f t="shared" si="1"/>
        <v>Добавить источник для дифференциации</v>
      </c>
      <c r="AQ54" s="720"/>
      <c r="AR54" s="720"/>
      <c r="AS54" s="455">
        <v>1</v>
      </c>
    </row>
    <row r="55" spans="1:45" s="2245" customFormat="1" ht="1.1499999999999999" customHeight="1">
      <c r="A55" s="1262" t="s">
        <v>161</v>
      </c>
      <c r="B55" s="1262" t="s">
        <v>162</v>
      </c>
      <c r="C55" s="1233"/>
      <c r="D55" s="1233"/>
      <c r="E55" s="2484"/>
      <c r="F55" s="2483"/>
      <c r="G55" s="1233"/>
      <c r="H55" s="1233"/>
      <c r="I55" s="1233"/>
      <c r="J55" s="1233"/>
      <c r="K55" s="1233"/>
      <c r="L55" s="1258"/>
      <c r="M55" s="1240"/>
      <c r="N55" s="1240"/>
      <c r="P55" s="1235"/>
      <c r="Q55" s="1236"/>
      <c r="R55" s="1235"/>
      <c r="S55" s="1241"/>
      <c r="T55" s="1244" t="s">
        <v>413</v>
      </c>
      <c r="U55" s="1243"/>
      <c r="V55" s="1243"/>
      <c r="W55" s="1243"/>
      <c r="X55" s="1243"/>
      <c r="Y55" s="1243"/>
      <c r="Z55" s="1243"/>
      <c r="AA55" s="1243"/>
      <c r="AB55" s="1243"/>
      <c r="AC55" s="1243"/>
      <c r="AD55" s="1243"/>
      <c r="AE55" s="1243"/>
      <c r="AF55" s="1243"/>
      <c r="AG55" s="1243"/>
      <c r="AH55" s="1243"/>
      <c r="AI55" s="1243"/>
      <c r="AJ55" s="1243"/>
      <c r="AK55" s="1243"/>
      <c r="AL55" s="1243"/>
      <c r="AM55" s="1243"/>
      <c r="AO55" s="720"/>
      <c r="AP55" s="720" t="str">
        <f t="shared" si="1"/>
        <v>Добавить централизованную систему для дифференциации</v>
      </c>
      <c r="AQ55" s="720"/>
      <c r="AR55" s="720"/>
      <c r="AS55" s="455">
        <v>1</v>
      </c>
    </row>
    <row r="56" spans="1:45" s="2245" customFormat="1" ht="1.1499999999999999" customHeight="1">
      <c r="A56" s="1262" t="s">
        <v>161</v>
      </c>
      <c r="B56" s="1262"/>
      <c r="C56" s="1262"/>
      <c r="D56" s="1262"/>
      <c r="E56" s="2483"/>
      <c r="F56" s="1262"/>
      <c r="G56" s="1262"/>
      <c r="H56" s="1262"/>
      <c r="I56" s="1262"/>
      <c r="J56" s="1262"/>
      <c r="K56" s="1262"/>
      <c r="L56" s="1265"/>
      <c r="M56" s="1240"/>
      <c r="N56" s="1240"/>
      <c r="O56" s="455"/>
      <c r="P56" s="317"/>
      <c r="Q56" s="1263"/>
      <c r="R56" s="317"/>
      <c r="S56" s="1241"/>
      <c r="T56" s="1244" t="s">
        <v>414</v>
      </c>
      <c r="U56" s="1243"/>
      <c r="V56" s="1243"/>
      <c r="W56" s="1243"/>
      <c r="X56" s="1243"/>
      <c r="Y56" s="1243"/>
      <c r="Z56" s="1243"/>
      <c r="AA56" s="1243"/>
      <c r="AB56" s="1243"/>
      <c r="AC56" s="1243"/>
      <c r="AD56" s="1243"/>
      <c r="AE56" s="1243"/>
      <c r="AF56" s="1243"/>
      <c r="AG56" s="1243"/>
      <c r="AH56" s="1243"/>
      <c r="AI56" s="1243"/>
      <c r="AJ56" s="1243"/>
      <c r="AK56" s="1243"/>
      <c r="AL56" s="1243"/>
      <c r="AM56" s="1243"/>
      <c r="AO56" s="437"/>
      <c r="AP56" s="437" t="str">
        <f t="shared" si="1"/>
        <v>Добавить территорию для дифференциации</v>
      </c>
      <c r="AQ56" s="437"/>
      <c r="AR56" s="437"/>
      <c r="AS56" s="448">
        <v>1</v>
      </c>
    </row>
    <row r="57" spans="1:45" s="224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446</v>
      </c>
      <c r="U57" s="1243"/>
      <c r="V57" s="1243"/>
      <c r="W57" s="1243"/>
      <c r="X57" s="1243"/>
      <c r="Y57" s="1243"/>
      <c r="Z57" s="1243"/>
      <c r="AA57" s="1243"/>
      <c r="AB57" s="1243"/>
      <c r="AC57" s="1243"/>
      <c r="AD57" s="1243"/>
      <c r="AE57" s="1243"/>
      <c r="AF57" s="1243"/>
      <c r="AG57" s="1243"/>
      <c r="AH57" s="1243"/>
      <c r="AI57" s="1243"/>
      <c r="AJ57" s="1243"/>
      <c r="AK57" s="1243"/>
      <c r="AL57" s="1243"/>
      <c r="AM57" s="1243"/>
      <c r="AO57" s="720"/>
      <c r="AP57" s="720" t="str">
        <f t="shared" si="1"/>
        <v>Добавить наименование тарифа</v>
      </c>
      <c r="AQ57" s="720"/>
      <c r="AR57" s="720"/>
      <c r="AS57" s="455">
        <v>1</v>
      </c>
    </row>
    <row r="58" spans="1:45" ht="11.45" customHeight="1">
      <c r="M58" s="1079"/>
      <c r="N58" s="1079"/>
      <c r="O58" s="474"/>
      <c r="P58" s="1074"/>
      <c r="Q58" s="1074"/>
      <c r="R58" s="1074"/>
      <c r="S58" s="1074"/>
      <c r="AN58" s="1074"/>
      <c r="AO58" s="1074"/>
      <c r="AP58" s="1074"/>
      <c r="AQ58" s="1074"/>
      <c r="AR58" s="1074"/>
      <c r="AS58" s="1074">
        <v>11</v>
      </c>
    </row>
    <row r="59" spans="1:45" ht="28.5" customHeight="1">
      <c r="O59" s="474"/>
      <c r="S59" s="1172"/>
      <c r="T59" s="2503"/>
      <c r="U59" s="2503"/>
      <c r="V59" s="2503"/>
      <c r="W59" s="2503"/>
      <c r="X59" s="2503"/>
      <c r="Y59" s="2503"/>
      <c r="Z59" s="2503"/>
      <c r="AA59" s="2503"/>
      <c r="AB59" s="2503"/>
      <c r="AC59" s="2503"/>
      <c r="AD59" s="2503"/>
      <c r="AE59" s="2503"/>
      <c r="AF59" s="2503"/>
      <c r="AG59" s="2503"/>
      <c r="AH59" s="2503"/>
      <c r="AI59" s="2503"/>
      <c r="AJ59" s="2503"/>
      <c r="AK59" s="2503"/>
      <c r="AL59" s="2503"/>
      <c r="AM59" s="2503"/>
      <c r="AS59" s="1074">
        <v>27</v>
      </c>
    </row>
    <row r="60" spans="1:45" ht="65.25" customHeight="1">
      <c r="O60" s="474"/>
      <c r="T60" s="2503"/>
      <c r="U60" s="2503"/>
      <c r="V60" s="2503"/>
      <c r="W60" s="2503"/>
      <c r="X60" s="2503"/>
      <c r="Y60" s="2503"/>
      <c r="Z60" s="2503"/>
      <c r="AA60" s="2503"/>
      <c r="AB60" s="2503"/>
      <c r="AC60" s="2503"/>
      <c r="AD60" s="2503"/>
      <c r="AE60" s="2503"/>
      <c r="AF60" s="2503"/>
      <c r="AG60" s="2503"/>
      <c r="AH60" s="2503"/>
      <c r="AI60" s="2503"/>
      <c r="AJ60" s="2503"/>
      <c r="AK60" s="2503"/>
      <c r="AL60" s="2503"/>
      <c r="AM60" s="2503"/>
      <c r="AS60" s="1074">
        <v>62</v>
      </c>
    </row>
    <row r="61" spans="1:45" ht="14.65" customHeight="1">
      <c r="O61" s="474"/>
      <c r="AS61" s="1074">
        <v>14</v>
      </c>
    </row>
    <row r="62" spans="1:45" ht="18.75" customHeight="1">
      <c r="O62" s="474"/>
      <c r="S62" s="1172"/>
      <c r="T62" s="2503"/>
      <c r="U62" s="2503"/>
      <c r="V62" s="2503"/>
      <c r="W62" s="2503"/>
      <c r="X62" s="2503"/>
      <c r="Y62" s="2503"/>
      <c r="Z62" s="2503"/>
      <c r="AA62" s="2503"/>
      <c r="AB62" s="2503"/>
      <c r="AC62" s="2503"/>
      <c r="AD62" s="2503"/>
      <c r="AE62" s="2503"/>
      <c r="AF62" s="2503"/>
      <c r="AG62" s="2503"/>
      <c r="AH62" s="2503"/>
      <c r="AI62" s="2503"/>
      <c r="AJ62" s="2503"/>
      <c r="AK62" s="2503"/>
      <c r="AL62" s="2503"/>
      <c r="AM62" s="2503"/>
      <c r="AS62" s="1074">
        <v>18</v>
      </c>
    </row>
    <row r="63" spans="1:45" ht="18.75" customHeight="1">
      <c r="O63" s="474"/>
      <c r="T63" s="2503"/>
      <c r="U63" s="2503"/>
      <c r="V63" s="2503"/>
      <c r="W63" s="2503"/>
      <c r="X63" s="2503"/>
      <c r="Y63" s="2503"/>
      <c r="Z63" s="2503"/>
      <c r="AA63" s="2503"/>
      <c r="AB63" s="2503"/>
      <c r="AC63" s="2503"/>
      <c r="AD63" s="2503"/>
      <c r="AE63" s="2503"/>
      <c r="AF63" s="2503"/>
      <c r="AG63" s="2503"/>
      <c r="AH63" s="2503"/>
      <c r="AI63" s="2503"/>
      <c r="AJ63" s="2503"/>
      <c r="AK63" s="2503"/>
      <c r="AL63" s="2503"/>
      <c r="AM63" s="2503"/>
      <c r="AS63" s="1074">
        <v>18</v>
      </c>
    </row>
    <row r="64" spans="1:45" ht="29.25" customHeight="1">
      <c r="O64" s="474"/>
      <c r="S64" s="1172"/>
      <c r="T64" s="2503"/>
      <c r="U64" s="2503"/>
      <c r="V64" s="2503"/>
      <c r="W64" s="2503"/>
      <c r="X64" s="2503"/>
      <c r="Y64" s="2503"/>
      <c r="Z64" s="2503"/>
      <c r="AA64" s="2503"/>
      <c r="AB64" s="2503"/>
      <c r="AC64" s="2503"/>
      <c r="AD64" s="2503"/>
      <c r="AE64" s="2503"/>
      <c r="AF64" s="2503"/>
      <c r="AG64" s="2503"/>
      <c r="AH64" s="2503"/>
      <c r="AI64" s="2503"/>
      <c r="AJ64" s="2503"/>
      <c r="AK64" s="2503"/>
      <c r="AL64" s="2503"/>
      <c r="AM64" s="2503"/>
      <c r="AS64" s="1074">
        <v>28</v>
      </c>
    </row>
    <row r="65" spans="1:45" ht="22.5" hidden="1" customHeight="1">
      <c r="A65" s="1079" t="s">
        <v>81</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8">
        <v>12</v>
      </c>
      <c r="T65" s="1074">
        <v>31</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8">
        <v>10</v>
      </c>
      <c r="AO65" s="448">
        <v>10</v>
      </c>
      <c r="AP65" s="448">
        <v>10</v>
      </c>
      <c r="AQ65" s="448">
        <v>10</v>
      </c>
      <c r="AR65" s="448">
        <v>10</v>
      </c>
      <c r="AS65" s="1074">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38" hidden="1"/>
    <col min="2" max="2" width="11" style="2238" hidden="1" customWidth="1"/>
    <col min="3" max="3" width="10.5703125" style="2238" hidden="1"/>
    <col min="4" max="4" width="11.85546875" style="2238" hidden="1" customWidth="1"/>
    <col min="5" max="5" width="10" style="2238" hidden="1" customWidth="1"/>
    <col min="6" max="6" width="8.7109375" style="2238" hidden="1" customWidth="1"/>
    <col min="7" max="7" width="7.5703125" style="2238" hidden="1" customWidth="1"/>
    <col min="8" max="8" width="11.42578125" style="2238" hidden="1" customWidth="1"/>
    <col min="9" max="9" width="12" style="2238" hidden="1" customWidth="1"/>
    <col min="10" max="10" width="9.85546875" style="2238" hidden="1" customWidth="1"/>
    <col min="11" max="11" width="11.42578125" style="2238" hidden="1" customWidth="1"/>
    <col min="12" max="12" width="19.140625" style="2242" hidden="1" customWidth="1"/>
    <col min="13" max="14" width="12.28515625" style="2272" hidden="1" customWidth="1"/>
    <col min="15" max="15" width="23.42578125" style="2272" hidden="1" customWidth="1"/>
    <col min="16" max="16" width="3" style="2272" customWidth="1"/>
    <col min="17" max="18" width="3" style="2273" customWidth="1"/>
    <col min="19" max="19" width="12" style="2274" customWidth="1"/>
    <col min="20" max="20" width="31" style="2238" customWidth="1"/>
    <col min="21" max="21" width="0.140625" style="2238" customWidth="1"/>
    <col min="22" max="22" width="24.7109375" style="2238" hidden="1" customWidth="1"/>
    <col min="23" max="23" width="0.140625" style="2238" hidden="1" customWidth="1"/>
    <col min="24" max="25" width="24.7109375" style="2238" hidden="1" customWidth="1"/>
    <col min="26" max="26" width="11.7109375" style="2238" hidden="1" customWidth="1"/>
    <col min="27" max="27" width="3.7109375" style="2238" hidden="1" customWidth="1"/>
    <col min="28" max="28" width="11.7109375" style="2238" hidden="1" customWidth="1"/>
    <col min="29" max="29" width="8.5703125" style="2238" hidden="1" customWidth="1"/>
    <col min="30" max="30" width="24.7109375" style="2238" customWidth="1"/>
    <col min="31" max="31" width="0.140625" style="2238" customWidth="1"/>
    <col min="32" max="33" width="24" style="2238" customWidth="1"/>
    <col min="34" max="34" width="11" style="2238" customWidth="1"/>
    <col min="35" max="35" width="3.7109375" style="2238" customWidth="1"/>
    <col min="36" max="36" width="11" style="2238" customWidth="1"/>
    <col min="37" max="37" width="8.5703125" style="2238" hidden="1" customWidth="1"/>
    <col min="38" max="38" width="4" style="2238" customWidth="1"/>
    <col min="39" max="39" width="115" style="2238" customWidth="1"/>
    <col min="40" max="44" width="10" style="2245" customWidth="1"/>
    <col min="45" max="45" width="10.5703125" style="2238" hidden="1"/>
  </cols>
  <sheetData>
    <row r="1" spans="1:45" ht="22.5" hidden="1" customHeight="1">
      <c r="AS1" s="1550" t="s">
        <v>14</v>
      </c>
    </row>
    <row r="2" spans="1:45" ht="21" hidden="1" customHeight="1">
      <c r="A2" s="1186"/>
      <c r="B2" s="1186"/>
      <c r="C2" s="1186"/>
      <c r="D2" s="1186"/>
      <c r="E2" s="2507">
        <v>1</v>
      </c>
      <c r="F2" s="1186"/>
      <c r="G2" s="1186"/>
      <c r="H2" s="1186"/>
      <c r="I2" s="1186"/>
      <c r="J2" s="1186"/>
      <c r="K2" s="1186"/>
      <c r="L2" s="1229"/>
      <c r="M2" s="1529"/>
      <c r="N2" s="1529"/>
      <c r="O2" s="1529"/>
      <c r="P2" s="1509"/>
      <c r="Q2" s="297"/>
      <c r="R2" s="292"/>
      <c r="S2" s="1871" t="e">
        <f>INDEX(PT_DIFFERENTIATION_NUM_NTAR,MATCH(A2,PT_DIFFERENTIATION_NTAR_ID,0))</f>
        <v>#N/A</v>
      </c>
      <c r="T2" s="1444" t="s">
        <v>123</v>
      </c>
      <c r="U2" s="237"/>
      <c r="V2" s="2469"/>
      <c r="W2" s="2470"/>
      <c r="X2" s="2470"/>
      <c r="Y2" s="2470"/>
      <c r="Z2" s="2470"/>
      <c r="AA2" s="2470"/>
      <c r="AB2" s="2470"/>
      <c r="AC2" s="2471"/>
      <c r="AD2" s="2469" t="e">
        <f>INDEX(PT_DIFFERENTIATION_NTAR,MATCH(A2,PT_DIFFERENTIATION_NTAR_ID,0))</f>
        <v>#N/A</v>
      </c>
      <c r="AE2" s="2470"/>
      <c r="AF2" s="2470"/>
      <c r="AG2" s="2470"/>
      <c r="AH2" s="2470"/>
      <c r="AI2" s="2470"/>
      <c r="AJ2" s="2470"/>
      <c r="AK2" s="2470"/>
      <c r="AL2" s="2471"/>
      <c r="AM2" s="1177" t="s">
        <v>394</v>
      </c>
      <c r="AO2" s="1543"/>
      <c r="AP2" s="1543" t="str">
        <f t="shared" ref="AP2:AP15" si="0">IF(T2="","",T2)</f>
        <v>Наименование тарифа</v>
      </c>
      <c r="AQ2" s="1543"/>
      <c r="AR2" s="1543"/>
      <c r="AS2" s="1550">
        <v>0</v>
      </c>
    </row>
    <row r="3" spans="1:45" ht="21" hidden="1" customHeight="1">
      <c r="A3" s="1186"/>
      <c r="B3" s="1186"/>
      <c r="C3" s="1186"/>
      <c r="D3" s="1186"/>
      <c r="E3" s="2508"/>
      <c r="F3" s="2507">
        <v>1</v>
      </c>
      <c r="G3" s="1186"/>
      <c r="H3" s="1186"/>
      <c r="I3" s="1186"/>
      <c r="J3" s="1186"/>
      <c r="K3" s="1186"/>
      <c r="L3" s="1229"/>
      <c r="M3" s="1529"/>
      <c r="N3" s="1529"/>
      <c r="O3" s="1529"/>
      <c r="P3" s="1853"/>
      <c r="Q3" s="289"/>
      <c r="R3" s="290"/>
      <c r="S3" s="1871" t="e">
        <f>INDEX(PT_DIFFERENTIATION_NUM_TER,MATCH(B3,PT_DIFFERENTIATION_TER_ID,0))</f>
        <v>#N/A</v>
      </c>
      <c r="T3" s="1441" t="s">
        <v>395</v>
      </c>
      <c r="U3" s="237"/>
      <c r="V3" s="2469"/>
      <c r="W3" s="2470"/>
      <c r="X3" s="2470"/>
      <c r="Y3" s="2470"/>
      <c r="Z3" s="2470"/>
      <c r="AA3" s="2470"/>
      <c r="AB3" s="2470"/>
      <c r="AC3" s="2471"/>
      <c r="AD3" s="2469" t="e">
        <f>INDEX(PT_DIFFERENTIATION_TER,MATCH(B3,PT_DIFFERENTIATION_TER_ID,0))</f>
        <v>#N/A</v>
      </c>
      <c r="AE3" s="2470"/>
      <c r="AF3" s="2470"/>
      <c r="AG3" s="2470"/>
      <c r="AH3" s="2470"/>
      <c r="AI3" s="2470"/>
      <c r="AJ3" s="2470"/>
      <c r="AK3" s="2470"/>
      <c r="AL3" s="2471"/>
      <c r="AM3" s="1177" t="s">
        <v>396</v>
      </c>
      <c r="AO3" s="1543"/>
      <c r="AP3" s="1543" t="str">
        <f t="shared" si="0"/>
        <v>Территория действия тарифа</v>
      </c>
      <c r="AQ3" s="1543"/>
      <c r="AR3" s="1543"/>
      <c r="AS3" s="1550">
        <v>0</v>
      </c>
    </row>
    <row r="4" spans="1:45" ht="23.25" hidden="1" customHeight="1">
      <c r="A4" s="1186"/>
      <c r="B4" s="1186"/>
      <c r="C4" s="1186"/>
      <c r="D4" s="1186"/>
      <c r="E4" s="2508"/>
      <c r="F4" s="2508"/>
      <c r="G4" s="2507">
        <v>1</v>
      </c>
      <c r="H4" s="1186"/>
      <c r="I4" s="1186"/>
      <c r="J4" s="1186"/>
      <c r="K4" s="1186"/>
      <c r="L4" s="1229"/>
      <c r="M4" s="1529"/>
      <c r="N4" s="1529"/>
      <c r="O4" s="1529"/>
      <c r="P4" s="291"/>
      <c r="Q4" s="289"/>
      <c r="R4" s="290"/>
      <c r="S4" s="1871" t="e">
        <f>INDEX(PT_DIFFERENTIATION_NUM_CS,MATCH(C4,PT_DIFFERENTIATION_CS_ID,0))</f>
        <v>#N/A</v>
      </c>
      <c r="T4" s="246" t="s">
        <v>397</v>
      </c>
      <c r="U4" s="237"/>
      <c r="V4" s="2469"/>
      <c r="W4" s="2470"/>
      <c r="X4" s="2470"/>
      <c r="Y4" s="2470"/>
      <c r="Z4" s="2470"/>
      <c r="AA4" s="2470"/>
      <c r="AB4" s="2470"/>
      <c r="AC4" s="2471"/>
      <c r="AD4" s="2469" t="e">
        <f>INDEX(PT_DIFFERENTIATION_CS,MATCH(C4,PT_DIFFERENTIATION_CS_ID,0))</f>
        <v>#N/A</v>
      </c>
      <c r="AE4" s="2470"/>
      <c r="AF4" s="2470"/>
      <c r="AG4" s="2470"/>
      <c r="AH4" s="2470"/>
      <c r="AI4" s="2470"/>
      <c r="AJ4" s="2470"/>
      <c r="AK4" s="2470"/>
      <c r="AL4" s="2471"/>
      <c r="AM4" s="1177" t="s">
        <v>398</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508"/>
      <c r="F5" s="2508"/>
      <c r="G5" s="2508"/>
      <c r="H5" s="2507">
        <v>1</v>
      </c>
      <c r="I5" s="1186"/>
      <c r="J5" s="1186"/>
      <c r="K5" s="1186"/>
      <c r="L5" s="1229"/>
      <c r="M5" s="1529"/>
      <c r="N5" s="1529"/>
      <c r="O5" s="1529"/>
      <c r="P5" s="291"/>
      <c r="Q5" s="289"/>
      <c r="R5" s="290"/>
      <c r="S5" s="1871" t="e">
        <f>INDEX(PT_DIFFERENTIATION_NUM_IST_TE,MATCH(D5,PT_DIFFERENTIATION_IST_TE_ID,0))</f>
        <v>#N/A</v>
      </c>
      <c r="T5" s="247" t="s">
        <v>399</v>
      </c>
      <c r="U5" s="237"/>
      <c r="V5" s="2469"/>
      <c r="W5" s="2470"/>
      <c r="X5" s="2470"/>
      <c r="Y5" s="2470"/>
      <c r="Z5" s="2470"/>
      <c r="AA5" s="2470"/>
      <c r="AB5" s="2470"/>
      <c r="AC5" s="2471"/>
      <c r="AD5" s="2469" t="e">
        <f>INDEX(PT_DIFFERENTIATION_IST_TE,MATCH(D5,PT_DIFFERENTIATION_IST_TE_ID,0))</f>
        <v>#N/A</v>
      </c>
      <c r="AE5" s="2470"/>
      <c r="AF5" s="2470"/>
      <c r="AG5" s="2470"/>
      <c r="AH5" s="2470"/>
      <c r="AI5" s="2470"/>
      <c r="AJ5" s="2470"/>
      <c r="AK5" s="2470"/>
      <c r="AL5" s="2471"/>
      <c r="AM5" s="1177" t="s">
        <v>400</v>
      </c>
      <c r="AO5" s="1543"/>
      <c r="AP5" s="1543" t="str">
        <f t="shared" si="0"/>
        <v xml:space="preserve">Источник тепловой энергии  </v>
      </c>
      <c r="AQ5" s="1543"/>
      <c r="AR5" s="1543"/>
      <c r="AS5" s="1550">
        <v>0</v>
      </c>
    </row>
    <row r="6" spans="1:45" ht="47.25" hidden="1" customHeight="1">
      <c r="A6" s="1186"/>
      <c r="B6" s="1186"/>
      <c r="C6" s="1186"/>
      <c r="D6" s="1186"/>
      <c r="E6" s="2508"/>
      <c r="F6" s="2508"/>
      <c r="G6" s="2508"/>
      <c r="H6" s="2508"/>
      <c r="I6" s="2363" t="e">
        <f>S5&amp;".1"</f>
        <v>#N/A</v>
      </c>
      <c r="J6" s="1186"/>
      <c r="K6" s="1186"/>
      <c r="L6" s="1229" t="s">
        <v>401</v>
      </c>
      <c r="M6" s="1554"/>
      <c r="P6" s="2482">
        <v>1</v>
      </c>
      <c r="Q6" s="1867"/>
      <c r="R6" s="293"/>
      <c r="S6" s="1871" t="e">
        <f>$I6</f>
        <v>#N/A</v>
      </c>
      <c r="T6" s="222" t="s">
        <v>402</v>
      </c>
      <c r="U6" s="237"/>
      <c r="V6" s="2472"/>
      <c r="W6" s="2473"/>
      <c r="X6" s="2473"/>
      <c r="Y6" s="2473"/>
      <c r="Z6" s="2473"/>
      <c r="AA6" s="2473"/>
      <c r="AB6" s="2473"/>
      <c r="AC6" s="2474"/>
      <c r="AD6" s="2472"/>
      <c r="AE6" s="2473"/>
      <c r="AF6" s="2473"/>
      <c r="AG6" s="2473"/>
      <c r="AH6" s="2473"/>
      <c r="AI6" s="2473"/>
      <c r="AJ6" s="2473"/>
      <c r="AK6" s="2473"/>
      <c r="AL6" s="2474"/>
      <c r="AM6" s="1177" t="s">
        <v>403</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508"/>
      <c r="F7" s="2508"/>
      <c r="G7" s="2508"/>
      <c r="H7" s="2508"/>
      <c r="I7" s="2335"/>
      <c r="J7" s="2363" t="e">
        <f>I6&amp;".1"</f>
        <v>#N/A</v>
      </c>
      <c r="K7" s="1186"/>
      <c r="L7" s="1229" t="s">
        <v>404</v>
      </c>
      <c r="M7" s="1554"/>
      <c r="N7" s="1550"/>
      <c r="P7" s="2482"/>
      <c r="Q7" s="2482">
        <v>1</v>
      </c>
      <c r="R7" s="294"/>
      <c r="S7" s="1871" t="e">
        <f>$J7</f>
        <v>#N/A</v>
      </c>
      <c r="T7" s="223" t="s">
        <v>405</v>
      </c>
      <c r="U7" s="237"/>
      <c r="V7" s="2472"/>
      <c r="W7" s="2473"/>
      <c r="X7" s="2473"/>
      <c r="Y7" s="2473"/>
      <c r="Z7" s="2473"/>
      <c r="AA7" s="2473"/>
      <c r="AB7" s="2473"/>
      <c r="AC7" s="2474"/>
      <c r="AD7" s="2472"/>
      <c r="AE7" s="2473"/>
      <c r="AF7" s="2473"/>
      <c r="AG7" s="2473"/>
      <c r="AH7" s="2473"/>
      <c r="AI7" s="2473"/>
      <c r="AJ7" s="2473"/>
      <c r="AK7" s="2473"/>
      <c r="AL7" s="2474"/>
      <c r="AM7" s="1177" t="s">
        <v>406</v>
      </c>
      <c r="AO7" s="1543"/>
      <c r="AP7" s="1543" t="str">
        <f t="shared" si="0"/>
        <v>Группа потребителей</v>
      </c>
      <c r="AQ7" s="1543"/>
      <c r="AR7" s="1543"/>
      <c r="AS7" s="1550">
        <v>0</v>
      </c>
    </row>
    <row r="8" spans="1:45" ht="21" hidden="1" customHeight="1">
      <c r="A8" s="1186"/>
      <c r="B8" s="1186"/>
      <c r="C8" s="1186"/>
      <c r="D8" s="1186"/>
      <c r="E8" s="2508"/>
      <c r="F8" s="2508"/>
      <c r="G8" s="2508"/>
      <c r="H8" s="2508"/>
      <c r="I8" s="2335"/>
      <c r="J8" s="2335"/>
      <c r="K8" s="2363" t="e">
        <f>J7&amp;".1"</f>
        <v>#N/A</v>
      </c>
      <c r="L8" s="1229" t="s">
        <v>407</v>
      </c>
      <c r="M8" s="1554"/>
      <c r="N8" s="1550"/>
      <c r="O8" s="1550"/>
      <c r="P8" s="2482"/>
      <c r="Q8" s="2482"/>
      <c r="R8" s="294">
        <v>1</v>
      </c>
      <c r="S8" s="1871" t="e">
        <f>$K8</f>
        <v>#N/A</v>
      </c>
      <c r="T8" s="1266"/>
      <c r="U8" s="237"/>
      <c r="V8" s="688"/>
      <c r="W8" s="262"/>
      <c r="X8" s="688"/>
      <c r="Y8" s="1176"/>
      <c r="Z8" s="2486"/>
      <c r="AA8" s="2344" t="s">
        <v>64</v>
      </c>
      <c r="AB8" s="2486"/>
      <c r="AC8" s="2344" t="s">
        <v>64</v>
      </c>
      <c r="AD8" s="688"/>
      <c r="AE8" s="262"/>
      <c r="AF8" s="688"/>
      <c r="AG8" s="1176"/>
      <c r="AH8" s="2486"/>
      <c r="AI8" s="2344" t="s">
        <v>64</v>
      </c>
      <c r="AJ8" s="2486"/>
      <c r="AK8" s="2344" t="s">
        <v>64</v>
      </c>
      <c r="AL8" s="262"/>
      <c r="AM8" s="2478" t="s">
        <v>408</v>
      </c>
      <c r="AN8" s="1555" t="e">
        <f ca="1">STRCHECKDATE(V9:AL9)</f>
        <v>#NAME?</v>
      </c>
      <c r="AO8" s="1543"/>
      <c r="AP8" s="1543" t="str">
        <f t="shared" si="0"/>
        <v/>
      </c>
      <c r="AQ8" s="1543"/>
      <c r="AR8" s="1543"/>
      <c r="AS8" s="1550">
        <v>0</v>
      </c>
    </row>
    <row r="9" spans="1:45" ht="0.75" hidden="1" customHeight="1">
      <c r="A9" s="1186"/>
      <c r="B9" s="1186"/>
      <c r="C9" s="1186"/>
      <c r="D9" s="1186"/>
      <c r="E9" s="2508"/>
      <c r="F9" s="2508"/>
      <c r="G9" s="2508"/>
      <c r="H9" s="2508"/>
      <c r="I9" s="2335"/>
      <c r="J9" s="2335"/>
      <c r="K9" s="2363"/>
      <c r="L9" s="1229"/>
      <c r="M9" s="1554"/>
      <c r="N9" s="1550"/>
      <c r="O9" s="1550"/>
      <c r="P9" s="2482"/>
      <c r="Q9" s="2482"/>
      <c r="R9" s="294"/>
      <c r="S9" s="1880"/>
      <c r="T9" s="237"/>
      <c r="U9" s="237"/>
      <c r="V9" s="262"/>
      <c r="W9" s="262"/>
      <c r="X9" s="262"/>
      <c r="Y9" s="265" t="str">
        <f>Z8&amp;"-"&amp;AB8</f>
        <v>-</v>
      </c>
      <c r="Z9" s="2487"/>
      <c r="AA9" s="2344"/>
      <c r="AB9" s="2487"/>
      <c r="AC9" s="2344"/>
      <c r="AD9" s="262"/>
      <c r="AE9" s="262"/>
      <c r="AF9" s="262"/>
      <c r="AG9" s="265" t="str">
        <f>AH8&amp;"-"&amp;AJ8</f>
        <v>-</v>
      </c>
      <c r="AH9" s="2487"/>
      <c r="AI9" s="2344"/>
      <c r="AJ9" s="2487"/>
      <c r="AK9" s="2344"/>
      <c r="AL9" s="262"/>
      <c r="AM9" s="2479"/>
      <c r="AO9" s="1543"/>
      <c r="AP9" s="1543" t="str">
        <f t="shared" si="0"/>
        <v/>
      </c>
      <c r="AQ9" s="1543"/>
      <c r="AR9" s="1543"/>
      <c r="AS9" s="1550">
        <v>0</v>
      </c>
    </row>
    <row r="10" spans="1:45" ht="15" hidden="1" customHeight="1">
      <c r="A10" s="1186"/>
      <c r="B10" s="1186"/>
      <c r="C10" s="1186"/>
      <c r="D10" s="1186"/>
      <c r="E10" s="2508"/>
      <c r="F10" s="2508"/>
      <c r="G10" s="2508"/>
      <c r="H10" s="2508"/>
      <c r="I10" s="2335"/>
      <c r="J10" s="2363"/>
      <c r="K10" s="1186"/>
      <c r="L10" s="1229"/>
      <c r="M10" s="1554"/>
      <c r="N10" s="1550"/>
      <c r="P10" s="2482"/>
      <c r="Q10" s="2482"/>
      <c r="R10" s="293"/>
      <c r="S10" s="1197"/>
      <c r="T10" s="225" t="s">
        <v>409</v>
      </c>
      <c r="U10" s="537"/>
      <c r="V10" s="537"/>
      <c r="W10" s="537"/>
      <c r="X10" s="537"/>
      <c r="Y10" s="537"/>
      <c r="Z10" s="537"/>
      <c r="AA10" s="537"/>
      <c r="AB10" s="537"/>
      <c r="AC10" s="537"/>
      <c r="AD10" s="537"/>
      <c r="AE10" s="537"/>
      <c r="AF10" s="537"/>
      <c r="AG10" s="537"/>
      <c r="AH10" s="537"/>
      <c r="AI10" s="537"/>
      <c r="AJ10" s="537"/>
      <c r="AK10" s="537"/>
      <c r="AL10" s="261"/>
      <c r="AM10" s="2480"/>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508"/>
      <c r="F11" s="2508"/>
      <c r="G11" s="2508"/>
      <c r="H11" s="2508"/>
      <c r="I11" s="2363"/>
      <c r="J11" s="1186"/>
      <c r="K11" s="1186"/>
      <c r="L11" s="1229"/>
      <c r="M11" s="1554"/>
      <c r="P11" s="2482"/>
      <c r="Q11" s="1867"/>
      <c r="R11" s="293"/>
      <c r="S11" s="1197"/>
      <c r="T11" s="224" t="s">
        <v>410</v>
      </c>
      <c r="U11" s="537"/>
      <c r="V11" s="537"/>
      <c r="W11" s="537"/>
      <c r="X11" s="537"/>
      <c r="Y11" s="537"/>
      <c r="Z11" s="537"/>
      <c r="AA11" s="537"/>
      <c r="AB11" s="537"/>
      <c r="AC11" s="303"/>
      <c r="AD11" s="537"/>
      <c r="AE11" s="537"/>
      <c r="AF11" s="537"/>
      <c r="AG11" s="537"/>
      <c r="AH11" s="537"/>
      <c r="AI11" s="537"/>
      <c r="AJ11" s="537"/>
      <c r="AK11" s="303"/>
      <c r="AL11" s="537"/>
      <c r="AM11" s="240"/>
      <c r="AO11" s="1543"/>
      <c r="AP11" s="1543" t="str">
        <f t="shared" si="0"/>
        <v>Добавить группу потребителей</v>
      </c>
      <c r="AQ11" s="1543"/>
      <c r="AR11" s="1543"/>
      <c r="AS11" s="1550">
        <v>0</v>
      </c>
    </row>
    <row r="12" spans="1:45" ht="14.25" hidden="1" customHeight="1">
      <c r="A12" s="1186"/>
      <c r="B12" s="1186"/>
      <c r="C12" s="1186"/>
      <c r="D12" s="1186"/>
      <c r="E12" s="2508"/>
      <c r="F12" s="2508"/>
      <c r="G12" s="2508"/>
      <c r="H12" s="2507"/>
      <c r="I12" s="1186"/>
      <c r="J12" s="1186"/>
      <c r="K12" s="1186"/>
      <c r="L12" s="1229"/>
      <c r="M12" s="1529"/>
      <c r="N12" s="1529"/>
      <c r="O12" s="1554"/>
      <c r="P12" s="297"/>
      <c r="Q12" s="312"/>
      <c r="R12" s="292"/>
      <c r="S12" s="1197"/>
      <c r="T12" s="302" t="s">
        <v>411</v>
      </c>
      <c r="U12" s="537"/>
      <c r="V12" s="537"/>
      <c r="W12" s="537"/>
      <c r="X12" s="537"/>
      <c r="Y12" s="537"/>
      <c r="Z12" s="537"/>
      <c r="AA12" s="537"/>
      <c r="AB12" s="537"/>
      <c r="AC12" s="303"/>
      <c r="AD12" s="537"/>
      <c r="AE12" s="537"/>
      <c r="AF12" s="537"/>
      <c r="AG12" s="537"/>
      <c r="AH12" s="537"/>
      <c r="AI12" s="537"/>
      <c r="AJ12" s="537"/>
      <c r="AK12" s="303"/>
      <c r="AL12" s="537"/>
      <c r="AM12" s="240"/>
      <c r="AO12" s="1543"/>
      <c r="AP12" s="1543" t="str">
        <f t="shared" si="0"/>
        <v>Добавить схему подключения</v>
      </c>
      <c r="AQ12" s="1543"/>
      <c r="AR12" s="1543"/>
      <c r="AS12" s="1550">
        <v>0</v>
      </c>
    </row>
    <row r="13" spans="1:45" s="2245" customFormat="1" ht="0.75" hidden="1" customHeight="1">
      <c r="A13" s="1293"/>
      <c r="B13" s="1293"/>
      <c r="C13" s="1293"/>
      <c r="D13" s="1293"/>
      <c r="E13" s="2508"/>
      <c r="F13" s="2508"/>
      <c r="G13" s="2507"/>
      <c r="H13" s="1293"/>
      <c r="I13" s="1293"/>
      <c r="J13" s="1293"/>
      <c r="K13" s="1293"/>
      <c r="L13" s="1296"/>
      <c r="M13" s="1297"/>
      <c r="N13" s="1297"/>
      <c r="O13" s="288"/>
      <c r="P13" s="1235"/>
      <c r="Q13" s="1236"/>
      <c r="R13" s="1235"/>
      <c r="S13" s="1237"/>
      <c r="T13" s="1238" t="s">
        <v>412</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245" customFormat="1" ht="0.75" hidden="1" customHeight="1">
      <c r="A14" s="1293"/>
      <c r="B14" s="1293"/>
      <c r="C14" s="1293"/>
      <c r="D14" s="1293"/>
      <c r="E14" s="2508"/>
      <c r="F14" s="2507"/>
      <c r="G14" s="1293"/>
      <c r="H14" s="1293"/>
      <c r="I14" s="1293"/>
      <c r="J14" s="1293"/>
      <c r="K14" s="1293"/>
      <c r="L14" s="1296"/>
      <c r="M14" s="1298"/>
      <c r="N14" s="1298"/>
      <c r="O14" s="288"/>
      <c r="P14" s="1235"/>
      <c r="Q14" s="1236"/>
      <c r="R14" s="1235"/>
      <c r="S14" s="1241"/>
      <c r="T14" s="1242" t="s">
        <v>413</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245" customFormat="1" ht="0.75" hidden="1" customHeight="1">
      <c r="A15" s="1293"/>
      <c r="B15" s="1293"/>
      <c r="C15" s="1293"/>
      <c r="D15" s="1293"/>
      <c r="E15" s="2507"/>
      <c r="F15" s="1293"/>
      <c r="G15" s="1293"/>
      <c r="H15" s="1293"/>
      <c r="I15" s="1293"/>
      <c r="J15" s="1293"/>
      <c r="K15" s="1293"/>
      <c r="L15" s="1296"/>
      <c r="M15" s="1298"/>
      <c r="N15" s="1298"/>
      <c r="O15" s="288"/>
      <c r="P15" s="1235"/>
      <c r="Q15" s="1236"/>
      <c r="R15" s="1235"/>
      <c r="S15" s="1241"/>
      <c r="T15" s="1244" t="s">
        <v>414</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488"/>
      <c r="AI17" s="2489" t="s">
        <v>64</v>
      </c>
      <c r="AJ17" s="2488"/>
      <c r="AK17" s="2489" t="s">
        <v>64</v>
      </c>
      <c r="AS17" s="1550">
        <v>0</v>
      </c>
    </row>
    <row r="18" spans="1:45" ht="14.25" hidden="1" customHeight="1">
      <c r="AD18" s="1279"/>
      <c r="AE18" s="1279"/>
      <c r="AF18" s="1279"/>
      <c r="AG18" s="265" t="str">
        <f>AH17&amp;"-"&amp;AJ17</f>
        <v>-</v>
      </c>
      <c r="AH18" s="2489"/>
      <c r="AI18" s="2489"/>
      <c r="AJ18" s="2489"/>
      <c r="AK18" s="2489"/>
      <c r="AS18" s="1550">
        <v>0</v>
      </c>
    </row>
    <row r="19" spans="1:45" ht="14.25" hidden="1" customHeight="1">
      <c r="AS19" s="1550">
        <v>0</v>
      </c>
    </row>
    <row r="20" spans="1:45" s="2244" customFormat="1" ht="22.5" hidden="1" customHeight="1">
      <c r="A20" s="1550"/>
      <c r="B20" s="1550"/>
      <c r="C20" s="1550"/>
      <c r="D20" s="1550"/>
      <c r="E20" s="1550"/>
      <c r="F20" s="1550"/>
      <c r="G20" s="1550"/>
      <c r="H20" s="1550"/>
      <c r="I20" s="1550"/>
      <c r="J20" s="1550"/>
      <c r="K20" s="1550"/>
      <c r="L20" s="1852"/>
      <c r="M20" s="1878"/>
      <c r="N20" s="1878"/>
      <c r="O20" s="1264" t="s">
        <v>415</v>
      </c>
      <c r="P20" s="1281"/>
      <c r="Q20" s="1290"/>
      <c r="R20" s="1290"/>
      <c r="S20" s="666"/>
      <c r="Z20" s="1286"/>
      <c r="AB20" s="1286"/>
      <c r="AH20" s="1286"/>
      <c r="AJ20" s="1286"/>
      <c r="AN20" s="1555"/>
      <c r="AO20" s="1555"/>
      <c r="AP20" s="1555"/>
      <c r="AQ20" s="1555"/>
      <c r="AR20" s="1555"/>
      <c r="AS20" s="1285">
        <v>0</v>
      </c>
    </row>
    <row r="21" spans="1:45" s="2244"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6"/>
      <c r="AN21" s="1555"/>
      <c r="AO21" s="1555"/>
      <c r="AP21" s="1555"/>
      <c r="AQ21" s="1555"/>
      <c r="AR21" s="1555"/>
      <c r="AS21" s="1285">
        <v>0</v>
      </c>
    </row>
    <row r="22" spans="1:45" s="2244" customFormat="1" ht="14.25" hidden="1" customHeight="1">
      <c r="A22" s="1550"/>
      <c r="B22" s="1550"/>
      <c r="C22" s="1550"/>
      <c r="D22" s="1550"/>
      <c r="E22" s="1550"/>
      <c r="F22" s="1550"/>
      <c r="G22" s="1550"/>
      <c r="H22" s="1550"/>
      <c r="I22" s="1550"/>
      <c r="J22" s="1550"/>
      <c r="K22" s="1550"/>
      <c r="L22" s="1852"/>
      <c r="M22" s="1878"/>
      <c r="N22" s="1878"/>
      <c r="O22" s="1229" t="s">
        <v>416</v>
      </c>
      <c r="P22" s="1281"/>
      <c r="Q22" s="1290"/>
      <c r="R22" s="1290"/>
      <c r="S22" s="666"/>
      <c r="T22" s="1285" t="s">
        <v>417</v>
      </c>
      <c r="AA22" s="532" t="s">
        <v>418</v>
      </c>
      <c r="AC22" s="532" t="s">
        <v>419</v>
      </c>
      <c r="AD22" s="1285" t="s">
        <v>417</v>
      </c>
      <c r="AI22" s="532" t="s">
        <v>420</v>
      </c>
      <c r="AK22" s="532" t="s">
        <v>419</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3"/>
      <c r="R25" s="313"/>
      <c r="S25" s="1194"/>
      <c r="T25" s="394"/>
      <c r="U25" s="394"/>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3"/>
      <c r="R26" s="313"/>
      <c r="S26" s="24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67"/>
      <c r="U26" s="2467"/>
      <c r="V26" s="2467"/>
      <c r="W26" s="2467"/>
      <c r="X26" s="2467"/>
      <c r="Y26" s="2467"/>
      <c r="Z26" s="2467"/>
      <c r="AA26" s="2467"/>
      <c r="AB26" s="2467"/>
      <c r="AC26" s="2467"/>
      <c r="AD26" s="2467"/>
      <c r="AE26" s="2467"/>
      <c r="AF26" s="2467"/>
      <c r="AG26" s="2467"/>
      <c r="AH26" s="2467"/>
      <c r="AI26" s="2467"/>
      <c r="AJ26" s="2467"/>
      <c r="AK26" s="1162"/>
      <c r="AS26" s="1550">
        <v>14</v>
      </c>
    </row>
    <row r="27" spans="1:45" ht="14.65" customHeight="1">
      <c r="Q27" s="313"/>
      <c r="R27" s="313"/>
      <c r="S27" s="2412" t="str">
        <f>IF(org=0,"Не определено",org)</f>
        <v>МУП "Водоканал"</v>
      </c>
      <c r="T27" s="2412"/>
      <c r="U27" s="2412"/>
      <c r="V27" s="2412"/>
      <c r="W27" s="2412"/>
      <c r="X27" s="2412"/>
      <c r="Y27" s="2412"/>
      <c r="Z27" s="2412"/>
      <c r="AA27" s="2412"/>
      <c r="AB27" s="2412"/>
      <c r="AC27" s="2412"/>
      <c r="AD27" s="2412"/>
      <c r="AE27" s="2412"/>
      <c r="AF27" s="2412"/>
      <c r="AG27" s="2412"/>
      <c r="AH27" s="2412"/>
      <c r="AI27" s="2412"/>
      <c r="AJ27" s="2412"/>
      <c r="AK27" s="1162"/>
      <c r="AS27" s="1550">
        <v>14</v>
      </c>
    </row>
    <row r="28" spans="1:45" ht="14.25" hidden="1" customHeight="1">
      <c r="Q28" s="313"/>
      <c r="R28" s="313"/>
      <c r="S28" s="1194"/>
      <c r="T28" s="394"/>
      <c r="U28" s="394"/>
      <c r="V28" s="259"/>
      <c r="W28" s="259"/>
      <c r="X28" s="259"/>
      <c r="Y28" s="259"/>
      <c r="Z28" s="259"/>
      <c r="AA28" s="259"/>
      <c r="AB28" s="259"/>
      <c r="AC28" s="259"/>
      <c r="AD28" s="259"/>
      <c r="AE28" s="259"/>
      <c r="AF28" s="259"/>
      <c r="AG28" s="259"/>
      <c r="AH28" s="259"/>
      <c r="AI28" s="259"/>
      <c r="AJ28" s="259"/>
      <c r="AK28" s="259"/>
      <c r="AL28" s="1554"/>
      <c r="AS28" s="1550">
        <v>0</v>
      </c>
    </row>
    <row r="29" spans="1:45" s="2254" customFormat="1" ht="25.5" hidden="1" customHeight="1">
      <c r="A29" s="1167"/>
      <c r="B29" s="1167"/>
      <c r="C29" s="1167"/>
      <c r="D29" s="1167"/>
      <c r="E29" s="1167"/>
      <c r="F29" s="1167"/>
      <c r="G29" s="1167"/>
      <c r="H29" s="1167"/>
      <c r="I29" s="1167"/>
      <c r="J29" s="1167"/>
      <c r="K29" s="1167"/>
      <c r="L29" s="1299"/>
      <c r="M29" s="1167"/>
      <c r="N29" s="1167"/>
      <c r="O29" s="1167"/>
      <c r="S29" s="2475" t="s">
        <v>41</v>
      </c>
      <c r="T29" s="2475"/>
      <c r="U29" s="1291"/>
      <c r="V29" s="2476" t="str">
        <f>IF(TITLE_NAME_OR_PR_CHANGE="",IF(TITLE_NAME_OR_PR="","",TITLE_NAME_OR_PR),TITLE_NAME_OR_PR_CHANGE)</f>
        <v/>
      </c>
      <c r="W29" s="2476"/>
      <c r="X29" s="2476"/>
      <c r="Y29" s="2476"/>
      <c r="Z29" s="2476"/>
      <c r="AA29" s="2476"/>
      <c r="AB29" s="2476"/>
      <c r="AC29" s="1554"/>
      <c r="AD29" s="2476" t="str">
        <f>IF(TITLE_NAME_OR_PR_CHANGE="",IF(TITLE_NAME_OR_PR="","",TITLE_NAME_OR_PR),TITLE_NAME_OR_PR_CHANGE)</f>
        <v/>
      </c>
      <c r="AE29" s="2476"/>
      <c r="AF29" s="2476"/>
      <c r="AG29" s="2476"/>
      <c r="AH29" s="2476"/>
      <c r="AI29" s="2476"/>
      <c r="AJ29" s="2476"/>
      <c r="AK29" s="1554"/>
      <c r="AL29" s="1554"/>
      <c r="AM29" s="217"/>
      <c r="AN29" s="305"/>
      <c r="AO29" s="305"/>
      <c r="AP29" s="305"/>
      <c r="AQ29" s="305"/>
      <c r="AR29" s="305"/>
      <c r="AS29" s="355">
        <v>0</v>
      </c>
    </row>
    <row r="30" spans="1:45" s="2254" customFormat="1" ht="18.75" hidden="1" customHeight="1">
      <c r="A30" s="1167"/>
      <c r="B30" s="1167"/>
      <c r="C30" s="1167"/>
      <c r="D30" s="1167"/>
      <c r="E30" s="1167"/>
      <c r="F30" s="1167"/>
      <c r="G30" s="1167"/>
      <c r="H30" s="1167"/>
      <c r="I30" s="1167"/>
      <c r="J30" s="1167"/>
      <c r="K30" s="1167"/>
      <c r="L30" s="1299"/>
      <c r="M30" s="1167"/>
      <c r="N30" s="1167"/>
      <c r="O30" s="1167"/>
      <c r="S30" s="2475" t="s">
        <v>421</v>
      </c>
      <c r="T30" s="2475"/>
      <c r="U30" s="1291"/>
      <c r="V30" s="2485" t="str">
        <f>IF(TITLE_DATE_PR_CHANGE="",IF(TITLE_DATE_PR="","",TITLE_DATE_PR),TITLE_DATE_PR_CHANGE)</f>
        <v/>
      </c>
      <c r="W30" s="2485"/>
      <c r="X30" s="2485"/>
      <c r="Y30" s="2485"/>
      <c r="Z30" s="2485"/>
      <c r="AA30" s="2485"/>
      <c r="AB30" s="2485"/>
      <c r="AC30" s="1554"/>
      <c r="AD30" s="2485" t="str">
        <f>IF(TITLE_DATE_PR_CHANGE="",IF(TITLE_DATE_PR="","",TITLE_DATE_PR),TITLE_DATE_PR_CHANGE)</f>
        <v/>
      </c>
      <c r="AE30" s="2485"/>
      <c r="AF30" s="2485"/>
      <c r="AG30" s="2485"/>
      <c r="AH30" s="2485"/>
      <c r="AI30" s="2485"/>
      <c r="AJ30" s="2485"/>
      <c r="AK30" s="1554"/>
      <c r="AL30" s="1554"/>
      <c r="AM30" s="217"/>
      <c r="AN30" s="305"/>
      <c r="AO30" s="305"/>
      <c r="AP30" s="305"/>
      <c r="AQ30" s="305"/>
      <c r="AR30" s="305"/>
      <c r="AS30" s="355">
        <v>0</v>
      </c>
    </row>
    <row r="31" spans="1:45" s="2254" customFormat="1" ht="18.75" hidden="1" customHeight="1">
      <c r="A31" s="1167"/>
      <c r="B31" s="1167"/>
      <c r="C31" s="1167"/>
      <c r="D31" s="1167"/>
      <c r="E31" s="1167"/>
      <c r="F31" s="1167"/>
      <c r="G31" s="1167"/>
      <c r="H31" s="1167"/>
      <c r="I31" s="1167"/>
      <c r="J31" s="1167"/>
      <c r="K31" s="1167"/>
      <c r="L31" s="1299"/>
      <c r="M31" s="1167"/>
      <c r="N31" s="1167"/>
      <c r="O31" s="1167"/>
      <c r="S31" s="2475" t="s">
        <v>422</v>
      </c>
      <c r="T31" s="2475"/>
      <c r="U31" s="1291"/>
      <c r="V31" s="2476" t="str">
        <f>IF(TITLE_NUMBER_PR_CHANGE="",IF(TITLE_NUMBER_PR="","",TITLE_NUMBER_PR),TITLE_NUMBER_PR_CHANGE)</f>
        <v/>
      </c>
      <c r="W31" s="2476"/>
      <c r="X31" s="2476"/>
      <c r="Y31" s="2476"/>
      <c r="Z31" s="2476"/>
      <c r="AA31" s="2476"/>
      <c r="AB31" s="2476"/>
      <c r="AC31" s="1554"/>
      <c r="AD31" s="2476" t="str">
        <f>IF(TITLE_NUMBER_PR_CHANGE="",IF(TITLE_NUMBER_PR="","",TITLE_NUMBER_PR),TITLE_NUMBER_PR_CHANGE)</f>
        <v/>
      </c>
      <c r="AE31" s="2476"/>
      <c r="AF31" s="2476"/>
      <c r="AG31" s="2476"/>
      <c r="AH31" s="2476"/>
      <c r="AI31" s="2476"/>
      <c r="AJ31" s="2476"/>
      <c r="AK31" s="1554"/>
      <c r="AL31" s="1554"/>
      <c r="AM31" s="217"/>
      <c r="AN31" s="305"/>
      <c r="AO31" s="305"/>
      <c r="AP31" s="305"/>
      <c r="AQ31" s="305"/>
      <c r="AR31" s="305"/>
      <c r="AS31" s="355">
        <v>0</v>
      </c>
    </row>
    <row r="32" spans="1:45" s="2254" customFormat="1" ht="18.75" hidden="1" customHeight="1">
      <c r="A32" s="1167"/>
      <c r="B32" s="1167"/>
      <c r="C32" s="1167"/>
      <c r="D32" s="1167"/>
      <c r="E32" s="1167"/>
      <c r="F32" s="1167"/>
      <c r="G32" s="1167"/>
      <c r="H32" s="1167"/>
      <c r="I32" s="1167"/>
      <c r="J32" s="1167"/>
      <c r="K32" s="1167"/>
      <c r="L32" s="1299"/>
      <c r="M32" s="1167"/>
      <c r="N32" s="1167"/>
      <c r="O32" s="1167"/>
      <c r="S32" s="2475" t="s">
        <v>42</v>
      </c>
      <c r="T32" s="2475"/>
      <c r="U32" s="1291"/>
      <c r="V32" s="2476" t="str">
        <f>IF(TITLE_IST_PUB_CHANGE="",IF(TITLE_IST_PUB="","",TITLE_IST_PUB),TITLE_IST_PUB_CHANGE)</f>
        <v/>
      </c>
      <c r="W32" s="2476"/>
      <c r="X32" s="2476"/>
      <c r="Y32" s="2476"/>
      <c r="Z32" s="2476"/>
      <c r="AA32" s="2476"/>
      <c r="AB32" s="2476"/>
      <c r="AC32" s="1554"/>
      <c r="AD32" s="2476" t="str">
        <f>IF(TITLE_IST_PUB_CHANGE="",IF(TITLE_IST_PUB="","",TITLE_IST_PUB),TITLE_IST_PUB_CHANGE)</f>
        <v/>
      </c>
      <c r="AE32" s="2476"/>
      <c r="AF32" s="2476"/>
      <c r="AG32" s="2476"/>
      <c r="AH32" s="2476"/>
      <c r="AI32" s="2476"/>
      <c r="AJ32" s="2476"/>
      <c r="AK32" s="1554"/>
      <c r="AL32" s="1554"/>
      <c r="AM32" s="217"/>
      <c r="AN32" s="305"/>
      <c r="AO32" s="305"/>
      <c r="AP32" s="305"/>
      <c r="AQ32" s="305"/>
      <c r="AR32" s="305"/>
      <c r="AS32" s="355">
        <v>0</v>
      </c>
    </row>
    <row r="33" spans="1:45" ht="14.25" hidden="1" customHeight="1">
      <c r="Q33" s="313"/>
      <c r="R33" s="313"/>
      <c r="S33" s="1194"/>
      <c r="T33" s="394"/>
      <c r="U33" s="394"/>
      <c r="V33" s="259"/>
      <c r="W33" s="259"/>
      <c r="X33" s="259"/>
      <c r="Y33" s="259"/>
      <c r="Z33" s="259"/>
      <c r="AA33" s="259"/>
      <c r="AB33" s="259"/>
      <c r="AC33" s="259"/>
      <c r="AD33" s="259"/>
      <c r="AE33" s="259"/>
      <c r="AF33" s="259"/>
      <c r="AG33" s="259"/>
      <c r="AH33" s="259"/>
      <c r="AI33" s="259"/>
      <c r="AJ33" s="259"/>
      <c r="AK33" s="259"/>
      <c r="AL33" s="1554"/>
      <c r="AS33" s="1550">
        <v>0</v>
      </c>
    </row>
    <row r="34" spans="1:45" s="2254" customFormat="1" ht="18.75" hidden="1" customHeight="1">
      <c r="A34" s="1167"/>
      <c r="B34" s="1167"/>
      <c r="C34" s="1167"/>
      <c r="D34" s="1167"/>
      <c r="E34" s="1167"/>
      <c r="F34" s="1167"/>
      <c r="G34" s="1167"/>
      <c r="H34" s="1167"/>
      <c r="I34" s="1167"/>
      <c r="J34" s="1167"/>
      <c r="K34" s="1167"/>
      <c r="L34" s="1299"/>
      <c r="M34" s="1167"/>
      <c r="N34" s="1167"/>
      <c r="O34" s="1167"/>
      <c r="S34" s="2475" t="s">
        <v>423</v>
      </c>
      <c r="T34" s="2475"/>
      <c r="U34" s="1291"/>
      <c r="V34" s="2485" t="str">
        <f>IF(TITLE_DATE_PR_CHANGE="",IF(TITLE_DATE_PR="","",TITLE_DATE_PR),TITLE_DATE_PR_CHANGE)</f>
        <v/>
      </c>
      <c r="W34" s="2485"/>
      <c r="X34" s="2485"/>
      <c r="Y34" s="2485"/>
      <c r="Z34" s="2485"/>
      <c r="AA34" s="2485"/>
      <c r="AB34" s="2485"/>
      <c r="AC34" s="1554"/>
      <c r="AD34" s="2485" t="str">
        <f>IF(TITLE_DATE_PR_CHANGE="",IF(TITLE_DATE_PR="","",TITLE_DATE_PR),TITLE_DATE_PR_CHANGE)</f>
        <v/>
      </c>
      <c r="AE34" s="2485"/>
      <c r="AF34" s="2485"/>
      <c r="AG34" s="2485"/>
      <c r="AH34" s="2485"/>
      <c r="AI34" s="2485"/>
      <c r="AJ34" s="2485"/>
      <c r="AK34" s="1554"/>
      <c r="AL34" s="1554"/>
      <c r="AM34" s="217"/>
      <c r="AN34" s="305"/>
      <c r="AO34" s="305"/>
      <c r="AP34" s="305"/>
      <c r="AQ34" s="305"/>
      <c r="AR34" s="305"/>
      <c r="AS34" s="355">
        <v>0</v>
      </c>
    </row>
    <row r="35" spans="1:45" s="2254" customFormat="1" ht="18.75" hidden="1" customHeight="1">
      <c r="A35" s="1167"/>
      <c r="B35" s="1167"/>
      <c r="C35" s="1167"/>
      <c r="D35" s="1167"/>
      <c r="E35" s="1167"/>
      <c r="F35" s="1167"/>
      <c r="G35" s="1167"/>
      <c r="H35" s="1167"/>
      <c r="I35" s="1167"/>
      <c r="J35" s="1167"/>
      <c r="K35" s="1167"/>
      <c r="L35" s="1299"/>
      <c r="M35" s="1167"/>
      <c r="N35" s="1167"/>
      <c r="O35" s="1167"/>
      <c r="S35" s="2475" t="s">
        <v>424</v>
      </c>
      <c r="T35" s="2475"/>
      <c r="U35" s="1291"/>
      <c r="V35" s="2476" t="str">
        <f>IF(TITLE_NUMBER_PR_CHANGE="",IF(TITLE_NUMBER_PR="","",TITLE_NUMBER_PR),TITLE_NUMBER_PR_CHANGE)</f>
        <v/>
      </c>
      <c r="W35" s="2476"/>
      <c r="X35" s="2476"/>
      <c r="Y35" s="2476"/>
      <c r="Z35" s="2476"/>
      <c r="AA35" s="2476"/>
      <c r="AB35" s="2476"/>
      <c r="AC35" s="1554"/>
      <c r="AD35" s="2476" t="str">
        <f>IF(TITLE_NUMBER_PR_CHANGE="",IF(TITLE_NUMBER_PR="","",TITLE_NUMBER_PR),TITLE_NUMBER_PR_CHANGE)</f>
        <v/>
      </c>
      <c r="AE35" s="2476"/>
      <c r="AF35" s="2476"/>
      <c r="AG35" s="2476"/>
      <c r="AH35" s="2476"/>
      <c r="AI35" s="2476"/>
      <c r="AJ35" s="2476"/>
      <c r="AK35" s="1554"/>
      <c r="AL35" s="1554"/>
      <c r="AM35" s="217"/>
      <c r="AN35" s="305"/>
      <c r="AO35" s="305"/>
      <c r="AP35" s="305"/>
      <c r="AQ35" s="305"/>
      <c r="AR35" s="305"/>
      <c r="AS35" s="355">
        <v>0</v>
      </c>
    </row>
    <row r="36" spans="1:45" s="2254"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425</v>
      </c>
      <c r="AD36" s="1554"/>
      <c r="AE36" s="1554"/>
      <c r="AF36" s="1554"/>
      <c r="AG36" s="1554"/>
      <c r="AH36" s="1554"/>
      <c r="AI36" s="1554"/>
      <c r="AJ36" s="1554"/>
      <c r="AK36" s="1561" t="s">
        <v>425</v>
      </c>
      <c r="AN36" s="305"/>
      <c r="AO36" s="305"/>
      <c r="AP36" s="305"/>
      <c r="AQ36" s="305"/>
      <c r="AR36" s="305"/>
      <c r="AS36" s="355">
        <v>0</v>
      </c>
    </row>
    <row r="37" spans="1:45" ht="14.65" customHeight="1">
      <c r="Q37" s="313"/>
      <c r="R37" s="313"/>
      <c r="S37" s="1194"/>
      <c r="T37" s="394"/>
      <c r="U37" s="1163"/>
      <c r="V37" s="2477"/>
      <c r="W37" s="2477"/>
      <c r="X37" s="2477"/>
      <c r="Y37" s="2477"/>
      <c r="Z37" s="2477"/>
      <c r="AA37" s="2477"/>
      <c r="AB37" s="2477"/>
      <c r="AC37" s="2477"/>
      <c r="AD37" s="2477"/>
      <c r="AE37" s="2477"/>
      <c r="AF37" s="2477"/>
      <c r="AG37" s="2477"/>
      <c r="AH37" s="2477"/>
      <c r="AI37" s="2477"/>
      <c r="AJ37" s="2477"/>
      <c r="AK37" s="2477"/>
      <c r="AS37" s="1550">
        <v>14</v>
      </c>
    </row>
    <row r="38" spans="1:45" ht="14.65" customHeight="1">
      <c r="Q38" s="313"/>
      <c r="R38" s="313"/>
      <c r="S38" s="2363" t="s">
        <v>298</v>
      </c>
      <c r="T38" s="2363"/>
      <c r="U38" s="2363"/>
      <c r="V38" s="2363"/>
      <c r="W38" s="2363"/>
      <c r="X38" s="2363"/>
      <c r="Y38" s="2363"/>
      <c r="Z38" s="2363"/>
      <c r="AA38" s="2363"/>
      <c r="AB38" s="2363"/>
      <c r="AC38" s="2363"/>
      <c r="AD38" s="2363"/>
      <c r="AE38" s="2363"/>
      <c r="AF38" s="2363"/>
      <c r="AG38" s="2363"/>
      <c r="AH38" s="2363"/>
      <c r="AI38" s="2363"/>
      <c r="AJ38" s="2363"/>
      <c r="AK38" s="2363"/>
      <c r="AL38" s="2363"/>
      <c r="AM38" s="2363" t="s">
        <v>299</v>
      </c>
      <c r="AS38" s="1550">
        <v>14</v>
      </c>
    </row>
    <row r="39" spans="1:45" ht="14.65" customHeight="1">
      <c r="Q39" s="313"/>
      <c r="R39" s="313"/>
      <c r="S39" s="2491" t="s">
        <v>87</v>
      </c>
      <c r="T39" s="2442" t="s">
        <v>426</v>
      </c>
      <c r="U39" s="274"/>
      <c r="V39" s="2492" t="s">
        <v>427</v>
      </c>
      <c r="W39" s="2493"/>
      <c r="X39" s="2493"/>
      <c r="Y39" s="2493"/>
      <c r="Z39" s="2493"/>
      <c r="AA39" s="2493"/>
      <c r="AB39" s="2494"/>
      <c r="AC39" s="2495" t="s">
        <v>428</v>
      </c>
      <c r="AD39" s="2492" t="s">
        <v>427</v>
      </c>
      <c r="AE39" s="2493"/>
      <c r="AF39" s="2493"/>
      <c r="AG39" s="2493"/>
      <c r="AH39" s="2493"/>
      <c r="AI39" s="2493"/>
      <c r="AJ39" s="2494"/>
      <c r="AK39" s="2495" t="s">
        <v>429</v>
      </c>
      <c r="AL39" s="2498" t="s">
        <v>430</v>
      </c>
      <c r="AM39" s="2363"/>
      <c r="AS39" s="1550">
        <v>14</v>
      </c>
    </row>
    <row r="40" spans="1:45" ht="35.65" customHeight="1">
      <c r="Q40" s="313"/>
      <c r="R40" s="313"/>
      <c r="S40" s="2491"/>
      <c r="T40" s="2442"/>
      <c r="U40" s="955"/>
      <c r="V40" s="2411" t="s">
        <v>431</v>
      </c>
      <c r="W40" s="2501" t="s">
        <v>432</v>
      </c>
      <c r="X40" s="2335" t="s">
        <v>433</v>
      </c>
      <c r="Y40" s="2334"/>
      <c r="Z40" s="2335" t="s">
        <v>447</v>
      </c>
      <c r="AA40" s="2340"/>
      <c r="AB40" s="2334"/>
      <c r="AC40" s="2496"/>
      <c r="AD40" s="2411" t="s">
        <v>431</v>
      </c>
      <c r="AE40" s="2501" t="s">
        <v>432</v>
      </c>
      <c r="AF40" s="2335" t="s">
        <v>433</v>
      </c>
      <c r="AG40" s="2334"/>
      <c r="AH40" s="2335" t="s">
        <v>434</v>
      </c>
      <c r="AI40" s="2340"/>
      <c r="AJ40" s="2334"/>
      <c r="AK40" s="2496"/>
      <c r="AL40" s="2499"/>
      <c r="AM40" s="2363"/>
      <c r="AS40" s="1550">
        <v>34</v>
      </c>
    </row>
    <row r="41" spans="1:45" ht="35.65" customHeight="1">
      <c r="A41" s="1185"/>
      <c r="B41" s="1185" t="s">
        <v>135</v>
      </c>
      <c r="C41" s="1185" t="s">
        <v>136</v>
      </c>
      <c r="D41" s="1185" t="s">
        <v>137</v>
      </c>
      <c r="E41" s="1229" t="s">
        <v>435</v>
      </c>
      <c r="F41" s="1229" t="s">
        <v>436</v>
      </c>
      <c r="G41" s="1229" t="s">
        <v>437</v>
      </c>
      <c r="H41" s="1229" t="s">
        <v>438</v>
      </c>
      <c r="I41" s="1229" t="s">
        <v>439</v>
      </c>
      <c r="J41" s="1229" t="s">
        <v>440</v>
      </c>
      <c r="K41" s="1229" t="s">
        <v>441</v>
      </c>
      <c r="L41" s="1229" t="s">
        <v>416</v>
      </c>
      <c r="Q41" s="313"/>
      <c r="R41" s="313"/>
      <c r="S41" s="2491"/>
      <c r="T41" s="2442"/>
      <c r="U41" s="239"/>
      <c r="V41" s="2462"/>
      <c r="W41" s="2502"/>
      <c r="X41" s="1851" t="s">
        <v>442</v>
      </c>
      <c r="Y41" s="1851" t="s">
        <v>443</v>
      </c>
      <c r="Z41" s="1851" t="s">
        <v>444</v>
      </c>
      <c r="AA41" s="2451" t="s">
        <v>445</v>
      </c>
      <c r="AB41" s="2453"/>
      <c r="AC41" s="2497"/>
      <c r="AD41" s="2462"/>
      <c r="AE41" s="2502"/>
      <c r="AF41" s="1851" t="s">
        <v>442</v>
      </c>
      <c r="AG41" s="1851" t="s">
        <v>443</v>
      </c>
      <c r="AH41" s="1851" t="s">
        <v>444</v>
      </c>
      <c r="AI41" s="2451" t="s">
        <v>445</v>
      </c>
      <c r="AJ41" s="2453"/>
      <c r="AK41" s="2497"/>
      <c r="AL41" s="2500"/>
      <c r="AM41" s="2363"/>
      <c r="AS41" s="1550">
        <v>34</v>
      </c>
    </row>
    <row r="42" spans="1:45" s="2269"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108</v>
      </c>
      <c r="T42" s="1174" t="s">
        <v>109</v>
      </c>
      <c r="U42" s="1164" t="str">
        <f ca="1">OFFSET(U42,0,-1)</f>
        <v>2</v>
      </c>
      <c r="V42" s="1869">
        <f ca="1">OFFSET(V42,0,-1)+1</f>
        <v>3</v>
      </c>
      <c r="W42" s="1869"/>
      <c r="X42" s="1869">
        <f ca="1">OFFSET(X42,0,-1)+1</f>
        <v>1</v>
      </c>
      <c r="Y42" s="1869">
        <f ca="1">OFFSET(Y42,0,-1)+1</f>
        <v>2</v>
      </c>
      <c r="Z42" s="1869">
        <f ca="1">OFFSET(Z42,0,-1)+1</f>
        <v>3</v>
      </c>
      <c r="AA42" s="2490">
        <f ca="1">OFFSET(AA42,0,-1)+1</f>
        <v>4</v>
      </c>
      <c r="AB42" s="2490"/>
      <c r="AC42" s="1869">
        <f ca="1">OFFSET(AC42,0,-2)+1</f>
        <v>5</v>
      </c>
      <c r="AD42" s="1869">
        <f ca="1">OFFSET(AD42,0,-1)+1</f>
        <v>6</v>
      </c>
      <c r="AE42" s="1869"/>
      <c r="AF42" s="1869">
        <f ca="1">OFFSET(AF42,0,-1)+1</f>
        <v>1</v>
      </c>
      <c r="AG42" s="1869">
        <f ca="1">OFFSET(AG42,0,-1)+1</f>
        <v>2</v>
      </c>
      <c r="AH42" s="1869">
        <f ca="1">OFFSET(AH42,0,-1)+1</f>
        <v>3</v>
      </c>
      <c r="AI42" s="2490">
        <f ca="1">OFFSET(AI42,0,-1)+1</f>
        <v>4</v>
      </c>
      <c r="AJ42" s="2490"/>
      <c r="AK42" s="1869">
        <f ca="1">OFFSET(AK42,0,-2)+1</f>
        <v>5</v>
      </c>
      <c r="AL42" s="1164">
        <f ca="1">OFFSET(AL42,0,-1)</f>
        <v>5</v>
      </c>
      <c r="AM42" s="1869">
        <f ca="1">OFFSET(AM42,0,-1)+1</f>
        <v>6</v>
      </c>
      <c r="AN42" s="1555"/>
      <c r="AO42" s="1555"/>
      <c r="AP42" s="1555"/>
      <c r="AQ42" s="1555"/>
      <c r="AR42" s="1555"/>
      <c r="AS42" s="1560">
        <v>0</v>
      </c>
    </row>
    <row r="43" spans="1:45" ht="21.95" customHeight="1">
      <c r="A43" s="1186" t="s">
        <v>210</v>
      </c>
      <c r="B43" s="1186"/>
      <c r="C43" s="1186"/>
      <c r="D43" s="1186"/>
      <c r="E43" s="2507">
        <v>1</v>
      </c>
      <c r="F43" s="1186"/>
      <c r="G43" s="1186"/>
      <c r="H43" s="1186"/>
      <c r="I43" s="1186"/>
      <c r="J43" s="1186"/>
      <c r="K43" s="1186"/>
      <c r="L43" s="1229"/>
      <c r="M43" s="1529"/>
      <c r="N43" s="1529"/>
      <c r="O43" s="1529"/>
      <c r="P43" s="1509"/>
      <c r="Q43" s="297"/>
      <c r="R43" s="292"/>
      <c r="S43" s="1871">
        <f>INDEX(PT_DIFFERENTIATION_NUM_NTAR,MATCH(A43,PT_DIFFERENTIATION_NTAR_ID,0))</f>
        <v>0</v>
      </c>
      <c r="T43" s="1444" t="s">
        <v>123</v>
      </c>
      <c r="U43" s="237"/>
      <c r="V43" s="2469"/>
      <c r="W43" s="2470"/>
      <c r="X43" s="2470"/>
      <c r="Y43" s="2470"/>
      <c r="Z43" s="2470"/>
      <c r="AA43" s="2470"/>
      <c r="AB43" s="2470"/>
      <c r="AC43" s="2471"/>
      <c r="AD43" s="2469" t="str">
        <f>INDEX(PT_DIFFERENTIATION_NTAR,MATCH(A43,PT_DIFFERENTIATION_NTAR_ID,0))</f>
        <v/>
      </c>
      <c r="AE43" s="2470"/>
      <c r="AF43" s="2470"/>
      <c r="AG43" s="2470"/>
      <c r="AH43" s="2470"/>
      <c r="AI43" s="2470"/>
      <c r="AJ43" s="2470"/>
      <c r="AK43" s="2470"/>
      <c r="AL43" s="2471"/>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210</v>
      </c>
      <c r="B44" s="1186" t="s">
        <v>211</v>
      </c>
      <c r="C44" s="1186"/>
      <c r="D44" s="1186"/>
      <c r="E44" s="2508"/>
      <c r="F44" s="2507">
        <v>1</v>
      </c>
      <c r="G44" s="1186"/>
      <c r="H44" s="1186"/>
      <c r="I44" s="1186"/>
      <c r="J44" s="1186"/>
      <c r="K44" s="1186"/>
      <c r="L44" s="1229"/>
      <c r="M44" s="1529"/>
      <c r="N44" s="1529"/>
      <c r="O44" s="1529"/>
      <c r="P44" s="1853"/>
      <c r="Q44" s="289"/>
      <c r="R44" s="290"/>
      <c r="S44" s="1871" t="str">
        <f>INDEX(PT_DIFFERENTIATION_NUM_TER,MATCH(B44,PT_DIFFERENTIATION_TER_ID,0))</f>
        <v>.</v>
      </c>
      <c r="T44" s="1441" t="s">
        <v>395</v>
      </c>
      <c r="U44" s="237"/>
      <c r="V44" s="2469"/>
      <c r="W44" s="2470"/>
      <c r="X44" s="2470"/>
      <c r="Y44" s="2470"/>
      <c r="Z44" s="2470"/>
      <c r="AA44" s="2470"/>
      <c r="AB44" s="2470"/>
      <c r="AC44" s="2471"/>
      <c r="AD44" s="2469" t="str">
        <f>INDEX(PT_DIFFERENTIATION_TER,MATCH(B44,PT_DIFFERENTIATION_TER_ID,0))</f>
        <v/>
      </c>
      <c r="AE44" s="2470"/>
      <c r="AF44" s="2470"/>
      <c r="AG44" s="2470"/>
      <c r="AH44" s="2470"/>
      <c r="AI44" s="2470"/>
      <c r="AJ44" s="2470"/>
      <c r="AK44" s="2470"/>
      <c r="AL44" s="2471"/>
      <c r="AM44" s="1177" t="s">
        <v>396</v>
      </c>
      <c r="AO44" s="1543"/>
      <c r="AP44" s="1543" t="str">
        <f t="shared" si="1"/>
        <v>Территория действия тарифа</v>
      </c>
      <c r="AQ44" s="1543"/>
      <c r="AR44" s="1543"/>
      <c r="AS44" s="1550">
        <v>21</v>
      </c>
    </row>
    <row r="45" spans="1:45" ht="24" customHeight="1">
      <c r="A45" s="1186" t="s">
        <v>210</v>
      </c>
      <c r="B45" s="1186" t="s">
        <v>211</v>
      </c>
      <c r="C45" s="1186" t="s">
        <v>212</v>
      </c>
      <c r="D45" s="1186"/>
      <c r="E45" s="2508"/>
      <c r="F45" s="2508"/>
      <c r="G45" s="2507">
        <v>1</v>
      </c>
      <c r="H45" s="1186"/>
      <c r="I45" s="1186"/>
      <c r="J45" s="1186"/>
      <c r="K45" s="1186"/>
      <c r="L45" s="1229"/>
      <c r="M45" s="1529"/>
      <c r="N45" s="1529"/>
      <c r="O45" s="1529"/>
      <c r="P45" s="291"/>
      <c r="Q45" s="289"/>
      <c r="R45" s="290"/>
      <c r="S45" s="1871" t="str">
        <f>INDEX(PT_DIFFERENTIATION_NUM_CS,MATCH(C45,PT_DIFFERENTIATION_CS_ID,0))</f>
        <v>..</v>
      </c>
      <c r="T45" s="246" t="s">
        <v>397</v>
      </c>
      <c r="U45" s="237"/>
      <c r="V45" s="2469"/>
      <c r="W45" s="2470"/>
      <c r="X45" s="2470"/>
      <c r="Y45" s="2470"/>
      <c r="Z45" s="2470"/>
      <c r="AA45" s="2470"/>
      <c r="AB45" s="2470"/>
      <c r="AC45" s="2471"/>
      <c r="AD45" s="2469" t="str">
        <f>INDEX(PT_DIFFERENTIATION_CS,MATCH(C45,PT_DIFFERENTIATION_CS_ID,0))</f>
        <v/>
      </c>
      <c r="AE45" s="2470"/>
      <c r="AF45" s="2470"/>
      <c r="AG45" s="2470"/>
      <c r="AH45" s="2470"/>
      <c r="AI45" s="2470"/>
      <c r="AJ45" s="2470"/>
      <c r="AK45" s="2470"/>
      <c r="AL45" s="2471"/>
      <c r="AM45" s="1177" t="s">
        <v>398</v>
      </c>
      <c r="AO45" s="1543"/>
      <c r="AP45" s="1543" t="str">
        <f t="shared" si="1"/>
        <v xml:space="preserve">Наименование системы теплоснабжения </v>
      </c>
      <c r="AQ45" s="1543"/>
      <c r="AR45" s="1543"/>
      <c r="AS45" s="1550">
        <v>23</v>
      </c>
    </row>
    <row r="46" spans="1:45" ht="21.95" customHeight="1">
      <c r="A46" s="1186" t="s">
        <v>210</v>
      </c>
      <c r="B46" s="1186" t="s">
        <v>211</v>
      </c>
      <c r="C46" s="1186" t="s">
        <v>212</v>
      </c>
      <c r="D46" s="1186" t="s">
        <v>213</v>
      </c>
      <c r="E46" s="2508"/>
      <c r="F46" s="2508"/>
      <c r="G46" s="2508"/>
      <c r="H46" s="2507">
        <v>1</v>
      </c>
      <c r="I46" s="1186"/>
      <c r="J46" s="1186"/>
      <c r="K46" s="1186"/>
      <c r="L46" s="1229"/>
      <c r="M46" s="1529"/>
      <c r="N46" s="1529"/>
      <c r="O46" s="1529"/>
      <c r="P46" s="291"/>
      <c r="Q46" s="289"/>
      <c r="R46" s="290"/>
      <c r="S46" s="1871" t="str">
        <f>INDEX(PT_DIFFERENTIATION_NUM_IST_TE,MATCH(D46,PT_DIFFERENTIATION_IST_TE_ID,0))</f>
        <v>...</v>
      </c>
      <c r="T46" s="247" t="s">
        <v>399</v>
      </c>
      <c r="U46" s="237"/>
      <c r="V46" s="2469"/>
      <c r="W46" s="2470"/>
      <c r="X46" s="2470"/>
      <c r="Y46" s="2470"/>
      <c r="Z46" s="2470"/>
      <c r="AA46" s="2470"/>
      <c r="AB46" s="2470"/>
      <c r="AC46" s="2471"/>
      <c r="AD46" s="2469" t="str">
        <f>INDEX(PT_DIFFERENTIATION_IST_TE,MATCH(D46,PT_DIFFERENTIATION_IST_TE_ID,0))</f>
        <v/>
      </c>
      <c r="AE46" s="2470"/>
      <c r="AF46" s="2470"/>
      <c r="AG46" s="2470"/>
      <c r="AH46" s="2470"/>
      <c r="AI46" s="2470"/>
      <c r="AJ46" s="2470"/>
      <c r="AK46" s="2470"/>
      <c r="AL46" s="2471"/>
      <c r="AM46" s="1177" t="s">
        <v>400</v>
      </c>
      <c r="AO46" s="1543"/>
      <c r="AP46" s="1543" t="str">
        <f t="shared" si="1"/>
        <v xml:space="preserve">Источник тепловой энергии  </v>
      </c>
      <c r="AQ46" s="1543"/>
      <c r="AR46" s="1543"/>
      <c r="AS46" s="1550">
        <v>21</v>
      </c>
    </row>
    <row r="47" spans="1:45" ht="49.5" customHeight="1">
      <c r="A47" s="1186" t="s">
        <v>210</v>
      </c>
      <c r="B47" s="1186" t="s">
        <v>211</v>
      </c>
      <c r="C47" s="1186" t="s">
        <v>212</v>
      </c>
      <c r="D47" s="1186" t="s">
        <v>213</v>
      </c>
      <c r="E47" s="2508"/>
      <c r="F47" s="2508"/>
      <c r="G47" s="2508"/>
      <c r="H47" s="2508"/>
      <c r="I47" s="2363" t="str">
        <f>S46&amp;".1"</f>
        <v>....1</v>
      </c>
      <c r="J47" s="1186"/>
      <c r="K47" s="1186"/>
      <c r="L47" s="1229" t="s">
        <v>401</v>
      </c>
      <c r="P47" s="2482">
        <v>1</v>
      </c>
      <c r="Q47" s="1867"/>
      <c r="R47" s="293"/>
      <c r="S47" s="1871" t="str">
        <f>$I47</f>
        <v>....1</v>
      </c>
      <c r="T47" s="222" t="s">
        <v>402</v>
      </c>
      <c r="U47" s="237"/>
      <c r="V47" s="2472"/>
      <c r="W47" s="2473"/>
      <c r="X47" s="2473"/>
      <c r="Y47" s="2473"/>
      <c r="Z47" s="2473"/>
      <c r="AA47" s="2473"/>
      <c r="AB47" s="2473"/>
      <c r="AC47" s="2474"/>
      <c r="AD47" s="2472"/>
      <c r="AE47" s="2473"/>
      <c r="AF47" s="2473"/>
      <c r="AG47" s="2473"/>
      <c r="AH47" s="2473"/>
      <c r="AI47" s="2473"/>
      <c r="AJ47" s="2473"/>
      <c r="AK47" s="2473"/>
      <c r="AL47" s="2474"/>
      <c r="AM47" s="1177" t="s">
        <v>403</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210</v>
      </c>
      <c r="B48" s="1186" t="s">
        <v>211</v>
      </c>
      <c r="C48" s="1186" t="s">
        <v>212</v>
      </c>
      <c r="D48" s="1186" t="s">
        <v>213</v>
      </c>
      <c r="E48" s="2508"/>
      <c r="F48" s="2508"/>
      <c r="G48" s="2508"/>
      <c r="H48" s="2508"/>
      <c r="I48" s="2335"/>
      <c r="J48" s="2363" t="str">
        <f>I47&amp;".1"</f>
        <v>....1.1</v>
      </c>
      <c r="K48" s="1186"/>
      <c r="L48" s="1229" t="s">
        <v>404</v>
      </c>
      <c r="P48" s="2482"/>
      <c r="Q48" s="2482">
        <v>1</v>
      </c>
      <c r="R48" s="294"/>
      <c r="S48" s="1871" t="str">
        <f>$J48</f>
        <v>....1.1</v>
      </c>
      <c r="T48" s="223" t="s">
        <v>405</v>
      </c>
      <c r="U48" s="237"/>
      <c r="V48" s="2472"/>
      <c r="W48" s="2473"/>
      <c r="X48" s="2473"/>
      <c r="Y48" s="2473"/>
      <c r="Z48" s="2473"/>
      <c r="AA48" s="2473"/>
      <c r="AB48" s="2473"/>
      <c r="AC48" s="2474"/>
      <c r="AD48" s="2472"/>
      <c r="AE48" s="2473"/>
      <c r="AF48" s="2473"/>
      <c r="AG48" s="2473"/>
      <c r="AH48" s="2473"/>
      <c r="AI48" s="2473"/>
      <c r="AJ48" s="2473"/>
      <c r="AK48" s="2473"/>
      <c r="AL48" s="2474"/>
      <c r="AM48" s="1177" t="s">
        <v>406</v>
      </c>
      <c r="AO48" s="1543"/>
      <c r="AP48" s="1543" t="str">
        <f t="shared" si="1"/>
        <v>Группа потребителей</v>
      </c>
      <c r="AQ48" s="1543"/>
      <c r="AR48" s="1543"/>
      <c r="AS48" s="1550">
        <v>21</v>
      </c>
    </row>
    <row r="49" spans="1:45" ht="21.95" customHeight="1">
      <c r="A49" s="1186" t="s">
        <v>210</v>
      </c>
      <c r="B49" s="1186" t="s">
        <v>211</v>
      </c>
      <c r="C49" s="1186" t="s">
        <v>212</v>
      </c>
      <c r="D49" s="1186" t="s">
        <v>213</v>
      </c>
      <c r="E49" s="2508"/>
      <c r="F49" s="2508"/>
      <c r="G49" s="2508"/>
      <c r="H49" s="2508"/>
      <c r="I49" s="2335"/>
      <c r="J49" s="2335"/>
      <c r="K49" s="2363" t="str">
        <f>J48&amp;".1"</f>
        <v>....1.1.1</v>
      </c>
      <c r="L49" s="1229" t="s">
        <v>407</v>
      </c>
      <c r="P49" s="2482"/>
      <c r="Q49" s="2482"/>
      <c r="R49" s="294">
        <v>1</v>
      </c>
      <c r="S49" s="1871" t="str">
        <f>$K49</f>
        <v>....1.1.1</v>
      </c>
      <c r="T49" s="1266"/>
      <c r="U49" s="237"/>
      <c r="V49" s="688"/>
      <c r="W49" s="262"/>
      <c r="X49" s="688"/>
      <c r="Y49" s="1176"/>
      <c r="Z49" s="2486"/>
      <c r="AA49" s="2344" t="s">
        <v>64</v>
      </c>
      <c r="AB49" s="2486"/>
      <c r="AC49" s="2344" t="s">
        <v>64</v>
      </c>
      <c r="AD49" s="688"/>
      <c r="AE49" s="262"/>
      <c r="AF49" s="688"/>
      <c r="AG49" s="1176"/>
      <c r="AH49" s="2486"/>
      <c r="AI49" s="2344" t="s">
        <v>64</v>
      </c>
      <c r="AJ49" s="2505"/>
      <c r="AK49" s="2344" t="s">
        <v>64</v>
      </c>
      <c r="AL49" s="1267"/>
      <c r="AM49" s="2478" t="s">
        <v>408</v>
      </c>
      <c r="AN49" s="1555" t="e">
        <f ca="1">STRCHECKDATE(V50:AL50)</f>
        <v>#NAME?</v>
      </c>
      <c r="AO49" s="1543"/>
      <c r="AP49" s="1543" t="str">
        <f t="shared" si="1"/>
        <v/>
      </c>
      <c r="AQ49" s="1543"/>
      <c r="AR49" s="1543"/>
      <c r="AS49" s="1550">
        <v>21</v>
      </c>
    </row>
    <row r="50" spans="1:45" ht="1.1499999999999999" customHeight="1">
      <c r="A50" s="1186" t="s">
        <v>210</v>
      </c>
      <c r="B50" s="1186" t="s">
        <v>211</v>
      </c>
      <c r="C50" s="1186" t="s">
        <v>212</v>
      </c>
      <c r="D50" s="1186" t="s">
        <v>213</v>
      </c>
      <c r="E50" s="2508"/>
      <c r="F50" s="2508"/>
      <c r="G50" s="2508"/>
      <c r="H50" s="2508"/>
      <c r="I50" s="2335"/>
      <c r="J50" s="2335"/>
      <c r="K50" s="2363"/>
      <c r="L50" s="1229"/>
      <c r="P50" s="2482"/>
      <c r="Q50" s="2482"/>
      <c r="R50" s="294"/>
      <c r="S50" s="1880"/>
      <c r="T50" s="237"/>
      <c r="U50" s="237"/>
      <c r="V50" s="262"/>
      <c r="W50" s="262"/>
      <c r="X50" s="262"/>
      <c r="Y50" s="265" t="str">
        <f>Z49&amp;"-"&amp;AB49</f>
        <v>-</v>
      </c>
      <c r="Z50" s="2487"/>
      <c r="AA50" s="2344"/>
      <c r="AB50" s="2487"/>
      <c r="AC50" s="2344"/>
      <c r="AD50" s="262"/>
      <c r="AE50" s="262"/>
      <c r="AF50" s="262"/>
      <c r="AG50" s="265" t="str">
        <f>AH49&amp;"-"&amp;AJ49</f>
        <v>-</v>
      </c>
      <c r="AH50" s="2487"/>
      <c r="AI50" s="2344"/>
      <c r="AJ50" s="2506"/>
      <c r="AK50" s="2344"/>
      <c r="AL50" s="1268"/>
      <c r="AM50" s="2479"/>
      <c r="AO50" s="1543"/>
      <c r="AP50" s="1543" t="str">
        <f t="shared" si="1"/>
        <v/>
      </c>
      <c r="AQ50" s="1543"/>
      <c r="AR50" s="1543"/>
      <c r="AS50" s="1550">
        <v>1</v>
      </c>
    </row>
    <row r="51" spans="1:45" ht="11.45" customHeight="1">
      <c r="A51" s="1186" t="s">
        <v>210</v>
      </c>
      <c r="B51" s="1186" t="s">
        <v>211</v>
      </c>
      <c r="C51" s="1186" t="s">
        <v>212</v>
      </c>
      <c r="D51" s="1186" t="s">
        <v>213</v>
      </c>
      <c r="E51" s="2508"/>
      <c r="F51" s="2508"/>
      <c r="G51" s="2508"/>
      <c r="H51" s="2508"/>
      <c r="I51" s="2335"/>
      <c r="J51" s="2363"/>
      <c r="K51" s="1186"/>
      <c r="L51" s="1229"/>
      <c r="P51" s="2482"/>
      <c r="Q51" s="2482"/>
      <c r="R51" s="293"/>
      <c r="S51" s="1197"/>
      <c r="T51" s="225" t="s">
        <v>409</v>
      </c>
      <c r="U51" s="537"/>
      <c r="V51" s="537"/>
      <c r="W51" s="537"/>
      <c r="X51" s="537"/>
      <c r="Y51" s="537"/>
      <c r="Z51" s="537"/>
      <c r="AA51" s="537"/>
      <c r="AB51" s="537"/>
      <c r="AC51" s="537"/>
      <c r="AD51" s="537"/>
      <c r="AE51" s="537"/>
      <c r="AF51" s="537"/>
      <c r="AG51" s="537"/>
      <c r="AH51" s="537"/>
      <c r="AI51" s="537"/>
      <c r="AJ51" s="537"/>
      <c r="AK51" s="537"/>
      <c r="AL51" s="261"/>
      <c r="AM51" s="2480"/>
      <c r="AO51" s="1543"/>
      <c r="AP51" s="1543" t="str">
        <f t="shared" si="1"/>
        <v>Добавить вид теплоносителя (параметры теплоносителя)</v>
      </c>
      <c r="AQ51" s="1543"/>
      <c r="AR51" s="1543"/>
      <c r="AS51" s="1550">
        <v>11</v>
      </c>
    </row>
    <row r="52" spans="1:45" ht="11.45" customHeight="1">
      <c r="A52" s="1186" t="s">
        <v>210</v>
      </c>
      <c r="B52" s="1186" t="s">
        <v>211</v>
      </c>
      <c r="C52" s="1186" t="s">
        <v>212</v>
      </c>
      <c r="D52" s="1186" t="s">
        <v>213</v>
      </c>
      <c r="E52" s="2508"/>
      <c r="F52" s="2508"/>
      <c r="G52" s="2508"/>
      <c r="H52" s="2508"/>
      <c r="I52" s="2363"/>
      <c r="J52" s="1186"/>
      <c r="K52" s="1186"/>
      <c r="L52" s="1229"/>
      <c r="P52" s="2482"/>
      <c r="Q52" s="1867"/>
      <c r="R52" s="293"/>
      <c r="S52" s="1197"/>
      <c r="T52" s="224" t="s">
        <v>410</v>
      </c>
      <c r="U52" s="537"/>
      <c r="V52" s="537"/>
      <c r="W52" s="537"/>
      <c r="X52" s="537"/>
      <c r="Y52" s="537"/>
      <c r="Z52" s="537"/>
      <c r="AA52" s="537"/>
      <c r="AB52" s="537"/>
      <c r="AC52" s="303"/>
      <c r="AD52" s="537"/>
      <c r="AE52" s="537"/>
      <c r="AF52" s="537"/>
      <c r="AG52" s="537"/>
      <c r="AH52" s="537"/>
      <c r="AI52" s="537"/>
      <c r="AJ52" s="537"/>
      <c r="AK52" s="303"/>
      <c r="AL52" s="537"/>
      <c r="AM52" s="240"/>
      <c r="AO52" s="1543"/>
      <c r="AP52" s="1543" t="str">
        <f t="shared" si="1"/>
        <v>Добавить группу потребителей</v>
      </c>
      <c r="AQ52" s="1543"/>
      <c r="AR52" s="1543"/>
      <c r="AS52" s="1550">
        <v>11</v>
      </c>
    </row>
    <row r="53" spans="1:45" ht="14.65" customHeight="1">
      <c r="A53" s="1186" t="s">
        <v>210</v>
      </c>
      <c r="B53" s="1186" t="s">
        <v>211</v>
      </c>
      <c r="C53" s="1186" t="s">
        <v>212</v>
      </c>
      <c r="D53" s="1186" t="s">
        <v>213</v>
      </c>
      <c r="E53" s="2508"/>
      <c r="F53" s="2508"/>
      <c r="G53" s="2508"/>
      <c r="H53" s="2507"/>
      <c r="I53" s="1186"/>
      <c r="J53" s="1186"/>
      <c r="K53" s="1186"/>
      <c r="L53" s="1229"/>
      <c r="M53" s="1529"/>
      <c r="N53" s="1529"/>
      <c r="O53" s="1554"/>
      <c r="P53" s="297"/>
      <c r="Q53" s="312"/>
      <c r="R53" s="292"/>
      <c r="S53" s="1197"/>
      <c r="T53" s="302" t="s">
        <v>411</v>
      </c>
      <c r="U53" s="537"/>
      <c r="V53" s="537"/>
      <c r="W53" s="537"/>
      <c r="X53" s="537"/>
      <c r="Y53" s="537"/>
      <c r="Z53" s="537"/>
      <c r="AA53" s="537"/>
      <c r="AB53" s="537"/>
      <c r="AC53" s="303"/>
      <c r="AD53" s="537"/>
      <c r="AE53" s="537"/>
      <c r="AF53" s="537"/>
      <c r="AG53" s="537"/>
      <c r="AH53" s="537"/>
      <c r="AI53" s="537"/>
      <c r="AJ53" s="537"/>
      <c r="AK53" s="303"/>
      <c r="AL53" s="537"/>
      <c r="AM53" s="240"/>
      <c r="AO53" s="1543"/>
      <c r="AP53" s="1543" t="str">
        <f t="shared" si="1"/>
        <v>Добавить схему подключения</v>
      </c>
      <c r="AQ53" s="1543"/>
      <c r="AR53" s="1543"/>
      <c r="AS53" s="1550">
        <v>14</v>
      </c>
    </row>
    <row r="54" spans="1:45" s="2245" customFormat="1" ht="4.1500000000000004" customHeight="1">
      <c r="A54" s="1294" t="s">
        <v>210</v>
      </c>
      <c r="B54" s="1294" t="s">
        <v>211</v>
      </c>
      <c r="C54" s="1294" t="s">
        <v>212</v>
      </c>
      <c r="D54" s="1293"/>
      <c r="E54" s="2508"/>
      <c r="F54" s="2508"/>
      <c r="G54" s="2507"/>
      <c r="H54" s="1293"/>
      <c r="I54" s="1293"/>
      <c r="J54" s="1293"/>
      <c r="K54" s="1293"/>
      <c r="L54" s="1296"/>
      <c r="M54" s="1297"/>
      <c r="N54" s="1297"/>
      <c r="O54" s="288"/>
      <c r="P54" s="1235"/>
      <c r="Q54" s="1236"/>
      <c r="R54" s="1235"/>
      <c r="S54" s="1241"/>
      <c r="T54" s="1244" t="s">
        <v>412</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4</v>
      </c>
    </row>
    <row r="55" spans="1:45" s="2245" customFormat="1" ht="4.1500000000000004" customHeight="1">
      <c r="A55" s="1294" t="s">
        <v>210</v>
      </c>
      <c r="B55" s="1294" t="s">
        <v>211</v>
      </c>
      <c r="C55" s="1293"/>
      <c r="D55" s="1293"/>
      <c r="E55" s="2508"/>
      <c r="F55" s="2507"/>
      <c r="G55" s="1293"/>
      <c r="H55" s="1293"/>
      <c r="I55" s="1293"/>
      <c r="J55" s="1293"/>
      <c r="K55" s="1293"/>
      <c r="L55" s="1296"/>
      <c r="M55" s="1298"/>
      <c r="N55" s="1298"/>
      <c r="O55" s="288"/>
      <c r="P55" s="1235"/>
      <c r="Q55" s="1236"/>
      <c r="R55" s="1235"/>
      <c r="S55" s="1241"/>
      <c r="T55" s="1244" t="s">
        <v>413</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4</v>
      </c>
    </row>
    <row r="56" spans="1:45" s="2245" customFormat="1" ht="4.1500000000000004" customHeight="1">
      <c r="A56" s="1294" t="s">
        <v>210</v>
      </c>
      <c r="B56" s="1294"/>
      <c r="C56" s="1294"/>
      <c r="D56" s="1294"/>
      <c r="E56" s="2507"/>
      <c r="F56" s="1294"/>
      <c r="G56" s="1294"/>
      <c r="H56" s="1294"/>
      <c r="I56" s="1294"/>
      <c r="J56" s="1294"/>
      <c r="K56" s="1294"/>
      <c r="L56" s="1300"/>
      <c r="M56" s="1298"/>
      <c r="N56" s="1298"/>
      <c r="O56" s="288"/>
      <c r="P56" s="317"/>
      <c r="Q56" s="1263"/>
      <c r="R56" s="317"/>
      <c r="S56" s="1241"/>
      <c r="T56" s="1244" t="s">
        <v>414</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4</v>
      </c>
    </row>
    <row r="57" spans="1:45" s="2245" customFormat="1" ht="4.1500000000000004" customHeight="1">
      <c r="A57" s="1293"/>
      <c r="B57" s="1293"/>
      <c r="C57" s="1293"/>
      <c r="D57" s="1293"/>
      <c r="E57" s="1294"/>
      <c r="F57" s="1293"/>
      <c r="G57" s="1293"/>
      <c r="H57" s="1293"/>
      <c r="I57" s="1293"/>
      <c r="J57" s="1293"/>
      <c r="K57" s="1293"/>
      <c r="L57" s="1296"/>
      <c r="M57" s="1298"/>
      <c r="N57" s="1298"/>
      <c r="O57" s="288"/>
      <c r="P57" s="1235"/>
      <c r="Q57" s="1236"/>
      <c r="R57" s="1235"/>
      <c r="S57" s="1241"/>
      <c r="T57" s="1244" t="s">
        <v>446</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4</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503"/>
      <c r="U59" s="2503"/>
      <c r="V59" s="2503"/>
      <c r="W59" s="2503"/>
      <c r="X59" s="2503"/>
      <c r="Y59" s="2503"/>
      <c r="Z59" s="2503"/>
      <c r="AA59" s="2503"/>
      <c r="AB59" s="2503"/>
      <c r="AC59" s="2503"/>
      <c r="AD59" s="2503"/>
      <c r="AE59" s="2503"/>
      <c r="AF59" s="2503"/>
      <c r="AG59" s="2503"/>
      <c r="AH59" s="2503"/>
      <c r="AI59" s="2503"/>
      <c r="AJ59" s="2503"/>
      <c r="AK59" s="2503"/>
      <c r="AL59" s="2503"/>
      <c r="AM59" s="2503"/>
      <c r="AS59" s="1550">
        <v>27</v>
      </c>
    </row>
    <row r="60" spans="1:45" ht="65.25" customHeight="1">
      <c r="O60" s="1554"/>
      <c r="T60" s="2503"/>
      <c r="U60" s="2503"/>
      <c r="V60" s="2503"/>
      <c r="W60" s="2503"/>
      <c r="X60" s="2503"/>
      <c r="Y60" s="2503"/>
      <c r="Z60" s="2503"/>
      <c r="AA60" s="2503"/>
      <c r="AB60" s="2503"/>
      <c r="AC60" s="2503"/>
      <c r="AD60" s="2503"/>
      <c r="AE60" s="2503"/>
      <c r="AF60" s="2503"/>
      <c r="AG60" s="2503"/>
      <c r="AH60" s="2503"/>
      <c r="AI60" s="2503"/>
      <c r="AJ60" s="2503"/>
      <c r="AK60" s="2503"/>
      <c r="AL60" s="2503"/>
      <c r="AM60" s="2503"/>
      <c r="AS60" s="1550">
        <v>62</v>
      </c>
    </row>
    <row r="61" spans="1:45" ht="14.65" customHeight="1">
      <c r="O61" s="1554"/>
      <c r="AS61" s="1550">
        <v>14</v>
      </c>
    </row>
    <row r="62" spans="1:45" ht="18.75" customHeight="1">
      <c r="O62" s="1554"/>
      <c r="S62" s="1172"/>
      <c r="T62" s="2503"/>
      <c r="U62" s="2503"/>
      <c r="V62" s="2503"/>
      <c r="W62" s="2503"/>
      <c r="X62" s="2503"/>
      <c r="Y62" s="2503"/>
      <c r="Z62" s="2503"/>
      <c r="AA62" s="2503"/>
      <c r="AB62" s="2503"/>
      <c r="AC62" s="2503"/>
      <c r="AD62" s="2503"/>
      <c r="AE62" s="2503"/>
      <c r="AF62" s="2503"/>
      <c r="AG62" s="2503"/>
      <c r="AH62" s="2503"/>
      <c r="AI62" s="2503"/>
      <c r="AJ62" s="2503"/>
      <c r="AK62" s="2503"/>
      <c r="AL62" s="2503"/>
      <c r="AM62" s="2503"/>
      <c r="AS62" s="1550">
        <v>18</v>
      </c>
    </row>
    <row r="63" spans="1:45" ht="18.75" customHeight="1">
      <c r="O63" s="1554"/>
      <c r="T63" s="2503"/>
      <c r="U63" s="2503"/>
      <c r="V63" s="2503"/>
      <c r="W63" s="2503"/>
      <c r="X63" s="2503"/>
      <c r="Y63" s="2503"/>
      <c r="Z63" s="2503"/>
      <c r="AA63" s="2503"/>
      <c r="AB63" s="2503"/>
      <c r="AC63" s="2503"/>
      <c r="AD63" s="2503"/>
      <c r="AE63" s="2503"/>
      <c r="AF63" s="2503"/>
      <c r="AG63" s="2503"/>
      <c r="AH63" s="2503"/>
      <c r="AI63" s="2503"/>
      <c r="AJ63" s="2503"/>
      <c r="AK63" s="2503"/>
      <c r="AL63" s="2503"/>
      <c r="AM63" s="2503"/>
      <c r="AS63" s="1550">
        <v>18</v>
      </c>
    </row>
    <row r="64" spans="1:45" ht="29.25" customHeight="1">
      <c r="O64" s="1554"/>
      <c r="S64" s="1172"/>
      <c r="T64" s="2503"/>
      <c r="U64" s="2503"/>
      <c r="V64" s="2503"/>
      <c r="W64" s="2503"/>
      <c r="X64" s="2503"/>
      <c r="Y64" s="2503"/>
      <c r="Z64" s="2503"/>
      <c r="AA64" s="2503"/>
      <c r="AB64" s="2503"/>
      <c r="AC64" s="2503"/>
      <c r="AD64" s="2503"/>
      <c r="AE64" s="2503"/>
      <c r="AF64" s="2503"/>
      <c r="AG64" s="2503"/>
      <c r="AH64" s="2503"/>
      <c r="AI64" s="2503"/>
      <c r="AJ64" s="2503"/>
      <c r="AK64" s="2503"/>
      <c r="AL64" s="2503"/>
      <c r="AM64" s="2503"/>
      <c r="AS64" s="1550">
        <v>28</v>
      </c>
    </row>
    <row r="65" spans="1:45" ht="22.5" hidden="1" customHeight="1">
      <c r="A65" s="1550" t="s">
        <v>81</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1">
        <v>3</v>
      </c>
      <c r="R65" s="281">
        <v>3</v>
      </c>
      <c r="S65" s="518">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38" hidden="1"/>
    <col min="2" max="2" width="11" style="2238" hidden="1" customWidth="1"/>
    <col min="3" max="3" width="10.5703125" style="2238" hidden="1"/>
    <col min="4" max="4" width="11.85546875" style="2238" hidden="1" customWidth="1"/>
    <col min="5" max="5" width="10" style="2238" hidden="1" customWidth="1"/>
    <col min="6" max="6" width="8.7109375" style="2238" hidden="1" customWidth="1"/>
    <col min="7" max="7" width="7.5703125" style="2238" hidden="1" customWidth="1"/>
    <col min="8" max="8" width="11.42578125" style="2238" hidden="1" customWidth="1"/>
    <col min="9" max="9" width="12" style="2238" hidden="1" customWidth="1"/>
    <col min="10" max="10" width="9.85546875" style="2238" hidden="1" customWidth="1"/>
    <col min="11" max="11" width="11.42578125" style="2238" hidden="1" customWidth="1"/>
    <col min="12" max="12" width="19.140625" style="2242" hidden="1" customWidth="1"/>
    <col min="13" max="14" width="12.28515625" style="2272" hidden="1" customWidth="1"/>
    <col min="15" max="15" width="23.42578125" style="2272" hidden="1" customWidth="1"/>
    <col min="16" max="16" width="3" style="2272" customWidth="1"/>
    <col min="17" max="18" width="3" style="2273" customWidth="1"/>
    <col min="19" max="19" width="12" style="2274" customWidth="1"/>
    <col min="20" max="20" width="31" style="2238" customWidth="1"/>
    <col min="21" max="21" width="0.140625" style="2238" customWidth="1"/>
    <col min="22" max="22" width="24.7109375" style="2238" hidden="1" customWidth="1"/>
    <col min="23" max="23" width="0.140625" style="2238" hidden="1" customWidth="1"/>
    <col min="24" max="25" width="24.7109375" style="2238" hidden="1" customWidth="1"/>
    <col min="26" max="26" width="11.7109375" style="2238" hidden="1" customWidth="1"/>
    <col min="27" max="27" width="3.7109375" style="2238" hidden="1" customWidth="1"/>
    <col min="28" max="28" width="11.7109375" style="2238" hidden="1" customWidth="1"/>
    <col min="29" max="29" width="8.5703125" style="2238" hidden="1" customWidth="1"/>
    <col min="30" max="30" width="24.7109375" style="2238" customWidth="1"/>
    <col min="31" max="31" width="0.140625" style="2238" customWidth="1"/>
    <col min="32" max="33" width="24" style="2238" customWidth="1"/>
    <col min="34" max="34" width="11" style="2238" customWidth="1"/>
    <col min="35" max="35" width="3.7109375" style="2238" customWidth="1"/>
    <col min="36" max="36" width="11" style="2238" customWidth="1"/>
    <col min="37" max="37" width="8.5703125" style="2238" hidden="1" customWidth="1"/>
    <col min="38" max="38" width="4" style="2238" customWidth="1"/>
    <col min="39" max="39" width="115" style="2238" customWidth="1"/>
    <col min="40" max="44" width="10" style="2245" customWidth="1"/>
    <col min="45" max="45" width="10.5703125" style="2238" hidden="1"/>
  </cols>
  <sheetData>
    <row r="1" spans="1:45" ht="22.5" hidden="1" customHeight="1">
      <c r="AS1" s="1550" t="s">
        <v>14</v>
      </c>
    </row>
    <row r="2" spans="1:45" ht="21" hidden="1" customHeight="1">
      <c r="A2" s="1186"/>
      <c r="B2" s="1186"/>
      <c r="C2" s="1186"/>
      <c r="D2" s="1186"/>
      <c r="E2" s="2507">
        <v>1</v>
      </c>
      <c r="F2" s="1186"/>
      <c r="G2" s="1186"/>
      <c r="H2" s="1186"/>
      <c r="I2" s="1186"/>
      <c r="J2" s="1186"/>
      <c r="K2" s="1186"/>
      <c r="L2" s="1229"/>
      <c r="M2" s="1529"/>
      <c r="N2" s="1529"/>
      <c r="O2" s="1529"/>
      <c r="P2" s="1509"/>
      <c r="Q2" s="297"/>
      <c r="R2" s="292"/>
      <c r="S2" s="1871" t="e">
        <f>INDEX(PT_DIFFERENTIATION_NUM_NTAR,MATCH(A2,PT_DIFFERENTIATION_NTAR_ID,0))</f>
        <v>#N/A</v>
      </c>
      <c r="T2" s="1444" t="s">
        <v>123</v>
      </c>
      <c r="U2" s="237"/>
      <c r="V2" s="2469"/>
      <c r="W2" s="2470"/>
      <c r="X2" s="2470"/>
      <c r="Y2" s="2470"/>
      <c r="Z2" s="2470"/>
      <c r="AA2" s="2470"/>
      <c r="AB2" s="2470"/>
      <c r="AC2" s="2471"/>
      <c r="AD2" s="2469" t="e">
        <f>INDEX(PT_DIFFERENTIATION_NTAR,MATCH(A2,PT_DIFFERENTIATION_NTAR_ID,0))</f>
        <v>#N/A</v>
      </c>
      <c r="AE2" s="2470"/>
      <c r="AF2" s="2470"/>
      <c r="AG2" s="2470"/>
      <c r="AH2" s="2470"/>
      <c r="AI2" s="2470"/>
      <c r="AJ2" s="2470"/>
      <c r="AK2" s="2470"/>
      <c r="AL2" s="2471"/>
      <c r="AM2" s="1177" t="s">
        <v>394</v>
      </c>
      <c r="AO2" s="1543"/>
      <c r="AP2" s="1543" t="str">
        <f t="shared" ref="AP2:AP15" si="0">IF(T2="","",T2)</f>
        <v>Наименование тарифа</v>
      </c>
      <c r="AQ2" s="1543"/>
      <c r="AR2" s="1543"/>
      <c r="AS2" s="1550">
        <v>0</v>
      </c>
    </row>
    <row r="3" spans="1:45" ht="21" hidden="1" customHeight="1">
      <c r="A3" s="1186"/>
      <c r="B3" s="1186"/>
      <c r="C3" s="1186"/>
      <c r="D3" s="1186"/>
      <c r="E3" s="2508"/>
      <c r="F3" s="2507">
        <v>1</v>
      </c>
      <c r="G3" s="1186"/>
      <c r="H3" s="1186"/>
      <c r="I3" s="1186"/>
      <c r="J3" s="1186"/>
      <c r="K3" s="1186"/>
      <c r="L3" s="1229"/>
      <c r="M3" s="1529"/>
      <c r="N3" s="1529"/>
      <c r="O3" s="1529"/>
      <c r="P3" s="1853"/>
      <c r="Q3" s="289"/>
      <c r="R3" s="290"/>
      <c r="S3" s="1871" t="e">
        <f>INDEX(PT_DIFFERENTIATION_NUM_TER,MATCH(B3,PT_DIFFERENTIATION_TER_ID,0))</f>
        <v>#N/A</v>
      </c>
      <c r="T3" s="1441" t="s">
        <v>395</v>
      </c>
      <c r="U3" s="237"/>
      <c r="V3" s="2469"/>
      <c r="W3" s="2470"/>
      <c r="X3" s="2470"/>
      <c r="Y3" s="2470"/>
      <c r="Z3" s="2470"/>
      <c r="AA3" s="2470"/>
      <c r="AB3" s="2470"/>
      <c r="AC3" s="2471"/>
      <c r="AD3" s="2469" t="e">
        <f>INDEX(PT_DIFFERENTIATION_TER,MATCH(B3,PT_DIFFERENTIATION_TER_ID,0))</f>
        <v>#N/A</v>
      </c>
      <c r="AE3" s="2470"/>
      <c r="AF3" s="2470"/>
      <c r="AG3" s="2470"/>
      <c r="AH3" s="2470"/>
      <c r="AI3" s="2470"/>
      <c r="AJ3" s="2470"/>
      <c r="AK3" s="2470"/>
      <c r="AL3" s="2471"/>
      <c r="AM3" s="1177" t="s">
        <v>396</v>
      </c>
      <c r="AO3" s="1543"/>
      <c r="AP3" s="1543" t="str">
        <f t="shared" si="0"/>
        <v>Территория действия тарифа</v>
      </c>
      <c r="AQ3" s="1543"/>
      <c r="AR3" s="1543"/>
      <c r="AS3" s="1550">
        <v>0</v>
      </c>
    </row>
    <row r="4" spans="1:45" ht="23.25" hidden="1" customHeight="1">
      <c r="A4" s="1186"/>
      <c r="B4" s="1186"/>
      <c r="C4" s="1186"/>
      <c r="D4" s="1186"/>
      <c r="E4" s="2508"/>
      <c r="F4" s="2508"/>
      <c r="G4" s="2507">
        <v>1</v>
      </c>
      <c r="H4" s="1186"/>
      <c r="I4" s="1186"/>
      <c r="J4" s="1186"/>
      <c r="K4" s="1186"/>
      <c r="L4" s="1229"/>
      <c r="M4" s="1529"/>
      <c r="N4" s="1529"/>
      <c r="O4" s="1529"/>
      <c r="P4" s="291"/>
      <c r="Q4" s="289"/>
      <c r="R4" s="290"/>
      <c r="S4" s="1871" t="e">
        <f>INDEX(PT_DIFFERENTIATION_NUM_CS,MATCH(C4,PT_DIFFERENTIATION_CS_ID,0))</f>
        <v>#N/A</v>
      </c>
      <c r="T4" s="246" t="s">
        <v>397</v>
      </c>
      <c r="U4" s="237"/>
      <c r="V4" s="2469"/>
      <c r="W4" s="2470"/>
      <c r="X4" s="2470"/>
      <c r="Y4" s="2470"/>
      <c r="Z4" s="2470"/>
      <c r="AA4" s="2470"/>
      <c r="AB4" s="2470"/>
      <c r="AC4" s="2471"/>
      <c r="AD4" s="2469" t="e">
        <f>INDEX(PT_DIFFERENTIATION_CS,MATCH(C4,PT_DIFFERENTIATION_CS_ID,0))</f>
        <v>#N/A</v>
      </c>
      <c r="AE4" s="2470"/>
      <c r="AF4" s="2470"/>
      <c r="AG4" s="2470"/>
      <c r="AH4" s="2470"/>
      <c r="AI4" s="2470"/>
      <c r="AJ4" s="2470"/>
      <c r="AK4" s="2470"/>
      <c r="AL4" s="2471"/>
      <c r="AM4" s="1177" t="s">
        <v>398</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508"/>
      <c r="F5" s="2508"/>
      <c r="G5" s="2508"/>
      <c r="H5" s="2507">
        <v>1</v>
      </c>
      <c r="I5" s="1186"/>
      <c r="J5" s="1186"/>
      <c r="K5" s="1186"/>
      <c r="L5" s="1229"/>
      <c r="M5" s="1529"/>
      <c r="N5" s="1529"/>
      <c r="O5" s="1529"/>
      <c r="P5" s="291"/>
      <c r="Q5" s="289"/>
      <c r="R5" s="290"/>
      <c r="S5" s="1871" t="e">
        <f>INDEX(PT_DIFFERENTIATION_NUM_IST_TE,MATCH(D5,PT_DIFFERENTIATION_IST_TE_ID,0))</f>
        <v>#N/A</v>
      </c>
      <c r="T5" s="247" t="s">
        <v>399</v>
      </c>
      <c r="U5" s="237"/>
      <c r="V5" s="2469"/>
      <c r="W5" s="2470"/>
      <c r="X5" s="2470"/>
      <c r="Y5" s="2470"/>
      <c r="Z5" s="2470"/>
      <c r="AA5" s="2470"/>
      <c r="AB5" s="2470"/>
      <c r="AC5" s="2471"/>
      <c r="AD5" s="2469" t="e">
        <f>INDEX(PT_DIFFERENTIATION_IST_TE,MATCH(D5,PT_DIFFERENTIATION_IST_TE_ID,0))</f>
        <v>#N/A</v>
      </c>
      <c r="AE5" s="2470"/>
      <c r="AF5" s="2470"/>
      <c r="AG5" s="2470"/>
      <c r="AH5" s="2470"/>
      <c r="AI5" s="2470"/>
      <c r="AJ5" s="2470"/>
      <c r="AK5" s="2470"/>
      <c r="AL5" s="2471"/>
      <c r="AM5" s="1177" t="s">
        <v>400</v>
      </c>
      <c r="AO5" s="1543"/>
      <c r="AP5" s="1543" t="str">
        <f t="shared" si="0"/>
        <v xml:space="preserve">Источник тепловой энергии  </v>
      </c>
      <c r="AQ5" s="1543"/>
      <c r="AR5" s="1543"/>
      <c r="AS5" s="1550">
        <v>0</v>
      </c>
    </row>
    <row r="6" spans="1:45" ht="47.25" hidden="1" customHeight="1">
      <c r="A6" s="1186"/>
      <c r="B6" s="1186"/>
      <c r="C6" s="1186"/>
      <c r="D6" s="1186"/>
      <c r="E6" s="2508"/>
      <c r="F6" s="2508"/>
      <c r="G6" s="2508"/>
      <c r="H6" s="2508"/>
      <c r="I6" s="2363" t="e">
        <f>S5&amp;".1"</f>
        <v>#N/A</v>
      </c>
      <c r="J6" s="1186"/>
      <c r="K6" s="1186"/>
      <c r="L6" s="1229" t="s">
        <v>401</v>
      </c>
      <c r="M6" s="1554"/>
      <c r="P6" s="2482">
        <v>1</v>
      </c>
      <c r="Q6" s="1867"/>
      <c r="R6" s="293"/>
      <c r="S6" s="1871" t="e">
        <f>$I6</f>
        <v>#N/A</v>
      </c>
      <c r="T6" s="222" t="s">
        <v>402</v>
      </c>
      <c r="U6" s="237"/>
      <c r="V6" s="2472"/>
      <c r="W6" s="2473"/>
      <c r="X6" s="2473"/>
      <c r="Y6" s="2473"/>
      <c r="Z6" s="2473"/>
      <c r="AA6" s="2473"/>
      <c r="AB6" s="2473"/>
      <c r="AC6" s="2474"/>
      <c r="AD6" s="2472"/>
      <c r="AE6" s="2473"/>
      <c r="AF6" s="2473"/>
      <c r="AG6" s="2473"/>
      <c r="AH6" s="2473"/>
      <c r="AI6" s="2473"/>
      <c r="AJ6" s="2473"/>
      <c r="AK6" s="2473"/>
      <c r="AL6" s="2474"/>
      <c r="AM6" s="1177" t="s">
        <v>403</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508"/>
      <c r="F7" s="2508"/>
      <c r="G7" s="2508"/>
      <c r="H7" s="2508"/>
      <c r="I7" s="2335"/>
      <c r="J7" s="2363" t="e">
        <f>I6&amp;".1"</f>
        <v>#N/A</v>
      </c>
      <c r="K7" s="1186"/>
      <c r="L7" s="1229" t="s">
        <v>404</v>
      </c>
      <c r="M7" s="1554"/>
      <c r="N7" s="1550"/>
      <c r="P7" s="2482"/>
      <c r="Q7" s="2482">
        <v>1</v>
      </c>
      <c r="R7" s="294"/>
      <c r="S7" s="1871" t="e">
        <f>$J7</f>
        <v>#N/A</v>
      </c>
      <c r="T7" s="223" t="s">
        <v>405</v>
      </c>
      <c r="U7" s="237"/>
      <c r="V7" s="2472"/>
      <c r="W7" s="2473"/>
      <c r="X7" s="2473"/>
      <c r="Y7" s="2473"/>
      <c r="Z7" s="2473"/>
      <c r="AA7" s="2473"/>
      <c r="AB7" s="2473"/>
      <c r="AC7" s="2474"/>
      <c r="AD7" s="2472"/>
      <c r="AE7" s="2473"/>
      <c r="AF7" s="2473"/>
      <c r="AG7" s="2473"/>
      <c r="AH7" s="2473"/>
      <c r="AI7" s="2473"/>
      <c r="AJ7" s="2473"/>
      <c r="AK7" s="2473"/>
      <c r="AL7" s="2474"/>
      <c r="AM7" s="1177" t="s">
        <v>406</v>
      </c>
      <c r="AO7" s="1543"/>
      <c r="AP7" s="1543" t="str">
        <f t="shared" si="0"/>
        <v>Группа потребителей</v>
      </c>
      <c r="AQ7" s="1543"/>
      <c r="AR7" s="1543"/>
      <c r="AS7" s="1550">
        <v>0</v>
      </c>
    </row>
    <row r="8" spans="1:45" ht="21" hidden="1" customHeight="1">
      <c r="A8" s="1186"/>
      <c r="B8" s="1186"/>
      <c r="C8" s="1186"/>
      <c r="D8" s="1186"/>
      <c r="E8" s="2508"/>
      <c r="F8" s="2508"/>
      <c r="G8" s="2508"/>
      <c r="H8" s="2508"/>
      <c r="I8" s="2335"/>
      <c r="J8" s="2335"/>
      <c r="K8" s="2363" t="e">
        <f>J7&amp;".1"</f>
        <v>#N/A</v>
      </c>
      <c r="L8" s="1229" t="s">
        <v>407</v>
      </c>
      <c r="M8" s="1554"/>
      <c r="N8" s="1550"/>
      <c r="O8" s="1550"/>
      <c r="P8" s="2482"/>
      <c r="Q8" s="2482"/>
      <c r="R8" s="294">
        <v>1</v>
      </c>
      <c r="S8" s="1871" t="e">
        <f>$K8</f>
        <v>#N/A</v>
      </c>
      <c r="T8" s="1266"/>
      <c r="U8" s="237"/>
      <c r="V8" s="688"/>
      <c r="W8" s="262"/>
      <c r="X8" s="688"/>
      <c r="Y8" s="1176"/>
      <c r="Z8" s="2486"/>
      <c r="AA8" s="2344" t="s">
        <v>64</v>
      </c>
      <c r="AB8" s="2486"/>
      <c r="AC8" s="2344" t="s">
        <v>64</v>
      </c>
      <c r="AD8" s="688"/>
      <c r="AE8" s="262"/>
      <c r="AF8" s="688"/>
      <c r="AG8" s="1176"/>
      <c r="AH8" s="2486"/>
      <c r="AI8" s="2344" t="s">
        <v>64</v>
      </c>
      <c r="AJ8" s="2486"/>
      <c r="AK8" s="2344" t="s">
        <v>64</v>
      </c>
      <c r="AL8" s="262"/>
      <c r="AM8" s="2478" t="s">
        <v>408</v>
      </c>
      <c r="AN8" s="1555" t="e">
        <f ca="1">STRCHECKDATE(V9:AL9)</f>
        <v>#NAME?</v>
      </c>
      <c r="AO8" s="1543"/>
      <c r="AP8" s="1543" t="str">
        <f t="shared" si="0"/>
        <v/>
      </c>
      <c r="AQ8" s="1543"/>
      <c r="AR8" s="1543"/>
      <c r="AS8" s="1550">
        <v>0</v>
      </c>
    </row>
    <row r="9" spans="1:45" ht="0.75" hidden="1" customHeight="1">
      <c r="A9" s="1186"/>
      <c r="B9" s="1186"/>
      <c r="C9" s="1186"/>
      <c r="D9" s="1186"/>
      <c r="E9" s="2508"/>
      <c r="F9" s="2508"/>
      <c r="G9" s="2508"/>
      <c r="H9" s="2508"/>
      <c r="I9" s="2335"/>
      <c r="J9" s="2335"/>
      <c r="K9" s="2363"/>
      <c r="L9" s="1229"/>
      <c r="M9" s="1554"/>
      <c r="N9" s="1550"/>
      <c r="O9" s="1550"/>
      <c r="P9" s="2482"/>
      <c r="Q9" s="2482"/>
      <c r="R9" s="294"/>
      <c r="S9" s="1880"/>
      <c r="T9" s="237"/>
      <c r="U9" s="237"/>
      <c r="V9" s="262"/>
      <c r="W9" s="262"/>
      <c r="X9" s="262"/>
      <c r="Y9" s="265" t="str">
        <f>Z8&amp;"-"&amp;AB8</f>
        <v>-</v>
      </c>
      <c r="Z9" s="2487"/>
      <c r="AA9" s="2344"/>
      <c r="AB9" s="2487"/>
      <c r="AC9" s="2344"/>
      <c r="AD9" s="262"/>
      <c r="AE9" s="262"/>
      <c r="AF9" s="262"/>
      <c r="AG9" s="265" t="str">
        <f>AH8&amp;"-"&amp;AJ8</f>
        <v>-</v>
      </c>
      <c r="AH9" s="2487"/>
      <c r="AI9" s="2344"/>
      <c r="AJ9" s="2487"/>
      <c r="AK9" s="2344"/>
      <c r="AL9" s="262"/>
      <c r="AM9" s="2479"/>
      <c r="AO9" s="1543"/>
      <c r="AP9" s="1543" t="str">
        <f t="shared" si="0"/>
        <v/>
      </c>
      <c r="AQ9" s="1543"/>
      <c r="AR9" s="1543"/>
      <c r="AS9" s="1550">
        <v>0</v>
      </c>
    </row>
    <row r="10" spans="1:45" ht="15" hidden="1" customHeight="1">
      <c r="A10" s="1186"/>
      <c r="B10" s="1186"/>
      <c r="C10" s="1186"/>
      <c r="D10" s="1186"/>
      <c r="E10" s="2508"/>
      <c r="F10" s="2508"/>
      <c r="G10" s="2508"/>
      <c r="H10" s="2508"/>
      <c r="I10" s="2335"/>
      <c r="J10" s="2363"/>
      <c r="K10" s="1186"/>
      <c r="L10" s="1229"/>
      <c r="M10" s="1554"/>
      <c r="N10" s="1550"/>
      <c r="P10" s="2482"/>
      <c r="Q10" s="2482"/>
      <c r="R10" s="293"/>
      <c r="S10" s="1197"/>
      <c r="T10" s="225" t="s">
        <v>409</v>
      </c>
      <c r="U10" s="537"/>
      <c r="V10" s="537"/>
      <c r="W10" s="537"/>
      <c r="X10" s="537"/>
      <c r="Y10" s="537"/>
      <c r="Z10" s="537"/>
      <c r="AA10" s="537"/>
      <c r="AB10" s="537"/>
      <c r="AC10" s="537"/>
      <c r="AD10" s="537"/>
      <c r="AE10" s="537"/>
      <c r="AF10" s="537"/>
      <c r="AG10" s="537"/>
      <c r="AH10" s="537"/>
      <c r="AI10" s="537"/>
      <c r="AJ10" s="537"/>
      <c r="AK10" s="537"/>
      <c r="AL10" s="261"/>
      <c r="AM10" s="2480"/>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508"/>
      <c r="F11" s="2508"/>
      <c r="G11" s="2508"/>
      <c r="H11" s="2508"/>
      <c r="I11" s="2363"/>
      <c r="J11" s="1186"/>
      <c r="K11" s="1186"/>
      <c r="L11" s="1229"/>
      <c r="M11" s="1554"/>
      <c r="P11" s="2482"/>
      <c r="Q11" s="1867"/>
      <c r="R11" s="293"/>
      <c r="S11" s="1197"/>
      <c r="T11" s="224" t="s">
        <v>410</v>
      </c>
      <c r="U11" s="537"/>
      <c r="V11" s="537"/>
      <c r="W11" s="537"/>
      <c r="X11" s="537"/>
      <c r="Y11" s="537"/>
      <c r="Z11" s="537"/>
      <c r="AA11" s="537"/>
      <c r="AB11" s="537"/>
      <c r="AC11" s="303"/>
      <c r="AD11" s="537"/>
      <c r="AE11" s="537"/>
      <c r="AF11" s="537"/>
      <c r="AG11" s="537"/>
      <c r="AH11" s="537"/>
      <c r="AI11" s="537"/>
      <c r="AJ11" s="537"/>
      <c r="AK11" s="303"/>
      <c r="AL11" s="537"/>
      <c r="AM11" s="240"/>
      <c r="AO11" s="1543"/>
      <c r="AP11" s="1543" t="str">
        <f t="shared" si="0"/>
        <v>Добавить группу потребителей</v>
      </c>
      <c r="AQ11" s="1543"/>
      <c r="AR11" s="1543"/>
      <c r="AS11" s="1550">
        <v>0</v>
      </c>
    </row>
    <row r="12" spans="1:45" ht="14.25" hidden="1" customHeight="1">
      <c r="A12" s="1186"/>
      <c r="B12" s="1186"/>
      <c r="C12" s="1186"/>
      <c r="D12" s="1186"/>
      <c r="E12" s="2508"/>
      <c r="F12" s="2508"/>
      <c r="G12" s="2508"/>
      <c r="H12" s="2507"/>
      <c r="I12" s="1186"/>
      <c r="J12" s="1186"/>
      <c r="K12" s="1186"/>
      <c r="L12" s="1229"/>
      <c r="M12" s="1529"/>
      <c r="N12" s="1529"/>
      <c r="O12" s="1554"/>
      <c r="P12" s="297"/>
      <c r="Q12" s="312"/>
      <c r="R12" s="292"/>
      <c r="S12" s="1197"/>
      <c r="T12" s="302" t="s">
        <v>411</v>
      </c>
      <c r="U12" s="537"/>
      <c r="V12" s="537"/>
      <c r="W12" s="537"/>
      <c r="X12" s="537"/>
      <c r="Y12" s="537"/>
      <c r="Z12" s="537"/>
      <c r="AA12" s="537"/>
      <c r="AB12" s="537"/>
      <c r="AC12" s="303"/>
      <c r="AD12" s="537"/>
      <c r="AE12" s="537"/>
      <c r="AF12" s="537"/>
      <c r="AG12" s="537"/>
      <c r="AH12" s="537"/>
      <c r="AI12" s="537"/>
      <c r="AJ12" s="537"/>
      <c r="AK12" s="303"/>
      <c r="AL12" s="537"/>
      <c r="AM12" s="240"/>
      <c r="AO12" s="1543"/>
      <c r="AP12" s="1543" t="str">
        <f t="shared" si="0"/>
        <v>Добавить схему подключения</v>
      </c>
      <c r="AQ12" s="1543"/>
      <c r="AR12" s="1543"/>
      <c r="AS12" s="1550">
        <v>0</v>
      </c>
    </row>
    <row r="13" spans="1:45" s="2245" customFormat="1" ht="0.75" hidden="1" customHeight="1">
      <c r="A13" s="1887"/>
      <c r="B13" s="1887"/>
      <c r="C13" s="1887"/>
      <c r="D13" s="1887"/>
      <c r="E13" s="2508"/>
      <c r="F13" s="2508"/>
      <c r="G13" s="2507"/>
      <c r="H13" s="1887"/>
      <c r="I13" s="1887"/>
      <c r="J13" s="1887"/>
      <c r="K13" s="1887"/>
      <c r="L13" s="1299"/>
      <c r="M13" s="1529"/>
      <c r="N13" s="1529"/>
      <c r="O13" s="1554"/>
      <c r="P13" s="1235"/>
      <c r="Q13" s="1236"/>
      <c r="R13" s="1235"/>
      <c r="S13" s="1237"/>
      <c r="T13" s="1238" t="s">
        <v>412</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245" customFormat="1" ht="0.75" hidden="1" customHeight="1">
      <c r="A14" s="1887"/>
      <c r="B14" s="1887"/>
      <c r="C14" s="1887"/>
      <c r="D14" s="1887"/>
      <c r="E14" s="2508"/>
      <c r="F14" s="2507"/>
      <c r="G14" s="1887"/>
      <c r="H14" s="1887"/>
      <c r="I14" s="1887"/>
      <c r="J14" s="1887"/>
      <c r="K14" s="1887"/>
      <c r="L14" s="1299"/>
      <c r="M14" s="1888"/>
      <c r="N14" s="1888"/>
      <c r="O14" s="1554"/>
      <c r="P14" s="1235"/>
      <c r="Q14" s="1236"/>
      <c r="R14" s="1235"/>
      <c r="S14" s="1241"/>
      <c r="T14" s="1242" t="s">
        <v>413</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245" customFormat="1" ht="0.75" hidden="1" customHeight="1">
      <c r="A15" s="1887"/>
      <c r="B15" s="1887"/>
      <c r="C15" s="1887"/>
      <c r="D15" s="1887"/>
      <c r="E15" s="2507"/>
      <c r="F15" s="1887"/>
      <c r="G15" s="1887"/>
      <c r="H15" s="1887"/>
      <c r="I15" s="1887"/>
      <c r="J15" s="1887"/>
      <c r="K15" s="1887"/>
      <c r="L15" s="1299"/>
      <c r="M15" s="1888"/>
      <c r="N15" s="1888"/>
      <c r="O15" s="1554"/>
      <c r="P15" s="1235"/>
      <c r="Q15" s="1236"/>
      <c r="R15" s="1235"/>
      <c r="S15" s="1241"/>
      <c r="T15" s="1244" t="s">
        <v>414</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488"/>
      <c r="AI17" s="2489" t="s">
        <v>64</v>
      </c>
      <c r="AJ17" s="2488"/>
      <c r="AK17" s="2489" t="s">
        <v>64</v>
      </c>
      <c r="AS17" s="1550">
        <v>0</v>
      </c>
    </row>
    <row r="18" spans="1:45" ht="14.25" hidden="1" customHeight="1">
      <c r="AD18" s="1279"/>
      <c r="AE18" s="1279"/>
      <c r="AF18" s="1279"/>
      <c r="AG18" s="265" t="str">
        <f>AH17&amp;"-"&amp;AJ17</f>
        <v>-</v>
      </c>
      <c r="AH18" s="2489"/>
      <c r="AI18" s="2489"/>
      <c r="AJ18" s="2489"/>
      <c r="AK18" s="2489"/>
      <c r="AS18" s="1550">
        <v>0</v>
      </c>
    </row>
    <row r="19" spans="1:45" ht="14.25" hidden="1" customHeight="1">
      <c r="AS19" s="1550">
        <v>0</v>
      </c>
    </row>
    <row r="20" spans="1:45" s="2244" customFormat="1" ht="22.5" hidden="1" customHeight="1">
      <c r="A20" s="1550"/>
      <c r="B20" s="1550"/>
      <c r="C20" s="1550"/>
      <c r="D20" s="1550"/>
      <c r="E20" s="1550"/>
      <c r="F20" s="1550"/>
      <c r="G20" s="1550"/>
      <c r="H20" s="1550"/>
      <c r="I20" s="1550"/>
      <c r="J20" s="1550"/>
      <c r="K20" s="1550"/>
      <c r="L20" s="1852"/>
      <c r="M20" s="1878"/>
      <c r="N20" s="1878"/>
      <c r="O20" s="1264" t="s">
        <v>415</v>
      </c>
      <c r="P20" s="1281"/>
      <c r="Q20" s="1290"/>
      <c r="R20" s="1290"/>
      <c r="S20" s="666"/>
      <c r="Z20" s="1286"/>
      <c r="AB20" s="1286"/>
      <c r="AH20" s="1286"/>
      <c r="AJ20" s="1286"/>
      <c r="AN20" s="1555"/>
      <c r="AO20" s="1555"/>
      <c r="AP20" s="1555"/>
      <c r="AQ20" s="1555"/>
      <c r="AR20" s="1555"/>
      <c r="AS20" s="1285">
        <v>0</v>
      </c>
    </row>
    <row r="21" spans="1:45" s="2244"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6"/>
      <c r="AN21" s="1555"/>
      <c r="AO21" s="1555"/>
      <c r="AP21" s="1555"/>
      <c r="AQ21" s="1555"/>
      <c r="AR21" s="1555"/>
      <c r="AS21" s="1285">
        <v>0</v>
      </c>
    </row>
    <row r="22" spans="1:45" s="2244" customFormat="1" ht="14.25" hidden="1" customHeight="1">
      <c r="A22" s="1550"/>
      <c r="B22" s="1550"/>
      <c r="C22" s="1550"/>
      <c r="D22" s="1550"/>
      <c r="E22" s="1550"/>
      <c r="F22" s="1550"/>
      <c r="G22" s="1550"/>
      <c r="H22" s="1550"/>
      <c r="I22" s="1550"/>
      <c r="J22" s="1550"/>
      <c r="K22" s="1550"/>
      <c r="L22" s="1852"/>
      <c r="M22" s="1878"/>
      <c r="N22" s="1878"/>
      <c r="O22" s="1229" t="s">
        <v>416</v>
      </c>
      <c r="P22" s="1281"/>
      <c r="Q22" s="1290"/>
      <c r="R22" s="1290"/>
      <c r="S22" s="666"/>
      <c r="T22" s="1285" t="s">
        <v>417</v>
      </c>
      <c r="AA22" s="532" t="s">
        <v>418</v>
      </c>
      <c r="AC22" s="532" t="s">
        <v>419</v>
      </c>
      <c r="AD22" s="1285" t="s">
        <v>417</v>
      </c>
      <c r="AI22" s="532" t="s">
        <v>420</v>
      </c>
      <c r="AK22" s="532" t="s">
        <v>419</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3"/>
      <c r="R25" s="313"/>
      <c r="S25" s="1194"/>
      <c r="T25" s="394"/>
      <c r="U25" s="394"/>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3"/>
      <c r="R26" s="313"/>
      <c r="S26" s="24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67"/>
      <c r="U26" s="2467"/>
      <c r="V26" s="2467"/>
      <c r="W26" s="2467"/>
      <c r="X26" s="2467"/>
      <c r="Y26" s="2467"/>
      <c r="Z26" s="2467"/>
      <c r="AA26" s="2467"/>
      <c r="AB26" s="2467"/>
      <c r="AC26" s="2467"/>
      <c r="AD26" s="2467"/>
      <c r="AE26" s="2467"/>
      <c r="AF26" s="2467"/>
      <c r="AG26" s="2467"/>
      <c r="AH26" s="2467"/>
      <c r="AI26" s="2467"/>
      <c r="AJ26" s="2467"/>
      <c r="AK26" s="1162"/>
      <c r="AS26" s="1550">
        <v>14</v>
      </c>
    </row>
    <row r="27" spans="1:45" ht="14.65" customHeight="1">
      <c r="Q27" s="313"/>
      <c r="R27" s="313"/>
      <c r="S27" s="2412" t="str">
        <f>IF(org=0,"Не определено",org)</f>
        <v>МУП "Водоканал"</v>
      </c>
      <c r="T27" s="2412"/>
      <c r="U27" s="2412"/>
      <c r="V27" s="2412"/>
      <c r="W27" s="2412"/>
      <c r="X27" s="2412"/>
      <c r="Y27" s="2412"/>
      <c r="Z27" s="2412"/>
      <c r="AA27" s="2412"/>
      <c r="AB27" s="2412"/>
      <c r="AC27" s="2412"/>
      <c r="AD27" s="2412"/>
      <c r="AE27" s="2412"/>
      <c r="AF27" s="2412"/>
      <c r="AG27" s="2412"/>
      <c r="AH27" s="2412"/>
      <c r="AI27" s="2412"/>
      <c r="AJ27" s="2412"/>
      <c r="AK27" s="1162"/>
      <c r="AS27" s="1550">
        <v>14</v>
      </c>
    </row>
    <row r="28" spans="1:45" ht="14.25" hidden="1" customHeight="1">
      <c r="Q28" s="313"/>
      <c r="R28" s="313"/>
      <c r="S28" s="1194"/>
      <c r="T28" s="394"/>
      <c r="U28" s="394"/>
      <c r="V28" s="259"/>
      <c r="W28" s="259"/>
      <c r="X28" s="259"/>
      <c r="Y28" s="259"/>
      <c r="Z28" s="259"/>
      <c r="AA28" s="259"/>
      <c r="AB28" s="259"/>
      <c r="AC28" s="259"/>
      <c r="AD28" s="259"/>
      <c r="AE28" s="259"/>
      <c r="AF28" s="259"/>
      <c r="AG28" s="259"/>
      <c r="AH28" s="259"/>
      <c r="AI28" s="259"/>
      <c r="AJ28" s="259"/>
      <c r="AK28" s="259"/>
      <c r="AL28" s="1554"/>
      <c r="AS28" s="1550">
        <v>0</v>
      </c>
    </row>
    <row r="29" spans="1:45" s="2254" customFormat="1" ht="25.5" hidden="1" customHeight="1">
      <c r="A29" s="1167"/>
      <c r="B29" s="1167"/>
      <c r="C29" s="1167"/>
      <c r="D29" s="1167"/>
      <c r="E29" s="1167"/>
      <c r="F29" s="1167"/>
      <c r="G29" s="1167"/>
      <c r="H29" s="1167"/>
      <c r="I29" s="1167"/>
      <c r="J29" s="1167"/>
      <c r="K29" s="1167"/>
      <c r="L29" s="1299"/>
      <c r="M29" s="1167"/>
      <c r="N29" s="1167"/>
      <c r="O29" s="1167"/>
      <c r="S29" s="2475" t="s">
        <v>41</v>
      </c>
      <c r="T29" s="2475"/>
      <c r="U29" s="1291"/>
      <c r="V29" s="2476" t="str">
        <f>IF(TITLE_NAME_OR_PR_CHANGE="",IF(TITLE_NAME_OR_PR="","",TITLE_NAME_OR_PR),TITLE_NAME_OR_PR_CHANGE)</f>
        <v/>
      </c>
      <c r="W29" s="2476"/>
      <c r="X29" s="2476"/>
      <c r="Y29" s="2476"/>
      <c r="Z29" s="2476"/>
      <c r="AA29" s="2476"/>
      <c r="AB29" s="2476"/>
      <c r="AC29" s="1554"/>
      <c r="AD29" s="2476" t="str">
        <f>IF(TITLE_NAME_OR_PR_CHANGE="",IF(TITLE_NAME_OR_PR="","",TITLE_NAME_OR_PR),TITLE_NAME_OR_PR_CHANGE)</f>
        <v/>
      </c>
      <c r="AE29" s="2476"/>
      <c r="AF29" s="2476"/>
      <c r="AG29" s="2476"/>
      <c r="AH29" s="2476"/>
      <c r="AI29" s="2476"/>
      <c r="AJ29" s="2476"/>
      <c r="AK29" s="1554"/>
      <c r="AL29" s="1554"/>
      <c r="AM29" s="217"/>
      <c r="AN29" s="305"/>
      <c r="AO29" s="305"/>
      <c r="AP29" s="305"/>
      <c r="AQ29" s="305"/>
      <c r="AR29" s="305"/>
      <c r="AS29" s="355">
        <v>0</v>
      </c>
    </row>
    <row r="30" spans="1:45" s="2254" customFormat="1" ht="18.75" hidden="1" customHeight="1">
      <c r="A30" s="1167"/>
      <c r="B30" s="1167"/>
      <c r="C30" s="1167"/>
      <c r="D30" s="1167"/>
      <c r="E30" s="1167"/>
      <c r="F30" s="1167"/>
      <c r="G30" s="1167"/>
      <c r="H30" s="1167"/>
      <c r="I30" s="1167"/>
      <c r="J30" s="1167"/>
      <c r="K30" s="1167"/>
      <c r="L30" s="1299"/>
      <c r="M30" s="1167"/>
      <c r="N30" s="1167"/>
      <c r="O30" s="1167"/>
      <c r="S30" s="2475" t="s">
        <v>421</v>
      </c>
      <c r="T30" s="2475"/>
      <c r="U30" s="1291"/>
      <c r="V30" s="2485" t="str">
        <f>IF(TITLE_DATE_PR_CHANGE="",IF(TITLE_DATE_PR="","",TITLE_DATE_PR),TITLE_DATE_PR_CHANGE)</f>
        <v/>
      </c>
      <c r="W30" s="2485"/>
      <c r="X30" s="2485"/>
      <c r="Y30" s="2485"/>
      <c r="Z30" s="2485"/>
      <c r="AA30" s="2485"/>
      <c r="AB30" s="2485"/>
      <c r="AC30" s="1554"/>
      <c r="AD30" s="2485" t="str">
        <f>IF(TITLE_DATE_PR_CHANGE="",IF(TITLE_DATE_PR="","",TITLE_DATE_PR),TITLE_DATE_PR_CHANGE)</f>
        <v/>
      </c>
      <c r="AE30" s="2485"/>
      <c r="AF30" s="2485"/>
      <c r="AG30" s="2485"/>
      <c r="AH30" s="2485"/>
      <c r="AI30" s="2485"/>
      <c r="AJ30" s="2485"/>
      <c r="AK30" s="1554"/>
      <c r="AL30" s="1554"/>
      <c r="AM30" s="217"/>
      <c r="AN30" s="305"/>
      <c r="AO30" s="305"/>
      <c r="AP30" s="305"/>
      <c r="AQ30" s="305"/>
      <c r="AR30" s="305"/>
      <c r="AS30" s="355">
        <v>0</v>
      </c>
    </row>
    <row r="31" spans="1:45" s="2254" customFormat="1" ht="18.75" hidden="1" customHeight="1">
      <c r="A31" s="1167"/>
      <c r="B31" s="1167"/>
      <c r="C31" s="1167"/>
      <c r="D31" s="1167"/>
      <c r="E31" s="1167"/>
      <c r="F31" s="1167"/>
      <c r="G31" s="1167"/>
      <c r="H31" s="1167"/>
      <c r="I31" s="1167"/>
      <c r="J31" s="1167"/>
      <c r="K31" s="1167"/>
      <c r="L31" s="1299"/>
      <c r="M31" s="1167"/>
      <c r="N31" s="1167"/>
      <c r="O31" s="1167"/>
      <c r="S31" s="2475" t="s">
        <v>422</v>
      </c>
      <c r="T31" s="2475"/>
      <c r="U31" s="1291"/>
      <c r="V31" s="2476" t="str">
        <f>IF(TITLE_NUMBER_PR_CHANGE="",IF(TITLE_NUMBER_PR="","",TITLE_NUMBER_PR),TITLE_NUMBER_PR_CHANGE)</f>
        <v/>
      </c>
      <c r="W31" s="2476"/>
      <c r="X31" s="2476"/>
      <c r="Y31" s="2476"/>
      <c r="Z31" s="2476"/>
      <c r="AA31" s="2476"/>
      <c r="AB31" s="2476"/>
      <c r="AC31" s="1554"/>
      <c r="AD31" s="2476" t="str">
        <f>IF(TITLE_NUMBER_PR_CHANGE="",IF(TITLE_NUMBER_PR="","",TITLE_NUMBER_PR),TITLE_NUMBER_PR_CHANGE)</f>
        <v/>
      </c>
      <c r="AE31" s="2476"/>
      <c r="AF31" s="2476"/>
      <c r="AG31" s="2476"/>
      <c r="AH31" s="2476"/>
      <c r="AI31" s="2476"/>
      <c r="AJ31" s="2476"/>
      <c r="AK31" s="1554"/>
      <c r="AL31" s="1554"/>
      <c r="AM31" s="217"/>
      <c r="AN31" s="305"/>
      <c r="AO31" s="305"/>
      <c r="AP31" s="305"/>
      <c r="AQ31" s="305"/>
      <c r="AR31" s="305"/>
      <c r="AS31" s="355">
        <v>0</v>
      </c>
    </row>
    <row r="32" spans="1:45" s="2254" customFormat="1" ht="18.75" hidden="1" customHeight="1">
      <c r="A32" s="1167"/>
      <c r="B32" s="1167"/>
      <c r="C32" s="1167"/>
      <c r="D32" s="1167"/>
      <c r="E32" s="1167"/>
      <c r="F32" s="1167"/>
      <c r="G32" s="1167"/>
      <c r="H32" s="1167"/>
      <c r="I32" s="1167"/>
      <c r="J32" s="1167"/>
      <c r="K32" s="1167"/>
      <c r="L32" s="1299"/>
      <c r="M32" s="1167"/>
      <c r="N32" s="1167"/>
      <c r="O32" s="1167"/>
      <c r="S32" s="2475" t="s">
        <v>42</v>
      </c>
      <c r="T32" s="2475"/>
      <c r="U32" s="1291"/>
      <c r="V32" s="2476" t="str">
        <f>IF(TITLE_IST_PUB_CHANGE="",IF(TITLE_IST_PUB="","",TITLE_IST_PUB),TITLE_IST_PUB_CHANGE)</f>
        <v/>
      </c>
      <c r="W32" s="2476"/>
      <c r="X32" s="2476"/>
      <c r="Y32" s="2476"/>
      <c r="Z32" s="2476"/>
      <c r="AA32" s="2476"/>
      <c r="AB32" s="2476"/>
      <c r="AC32" s="1554"/>
      <c r="AD32" s="2476" t="str">
        <f>IF(TITLE_IST_PUB_CHANGE="",IF(TITLE_IST_PUB="","",TITLE_IST_PUB),TITLE_IST_PUB_CHANGE)</f>
        <v/>
      </c>
      <c r="AE32" s="2476"/>
      <c r="AF32" s="2476"/>
      <c r="AG32" s="2476"/>
      <c r="AH32" s="2476"/>
      <c r="AI32" s="2476"/>
      <c r="AJ32" s="2476"/>
      <c r="AK32" s="1554"/>
      <c r="AL32" s="1554"/>
      <c r="AM32" s="217"/>
      <c r="AN32" s="305"/>
      <c r="AO32" s="305"/>
      <c r="AP32" s="305"/>
      <c r="AQ32" s="305"/>
      <c r="AR32" s="305"/>
      <c r="AS32" s="355">
        <v>0</v>
      </c>
    </row>
    <row r="33" spans="1:45" ht="14.25" hidden="1" customHeight="1">
      <c r="Q33" s="313"/>
      <c r="R33" s="313"/>
      <c r="S33" s="1194"/>
      <c r="T33" s="394"/>
      <c r="U33" s="394"/>
      <c r="V33" s="259"/>
      <c r="W33" s="259"/>
      <c r="X33" s="259"/>
      <c r="Y33" s="259"/>
      <c r="Z33" s="259"/>
      <c r="AA33" s="259"/>
      <c r="AB33" s="259"/>
      <c r="AC33" s="259"/>
      <c r="AD33" s="259"/>
      <c r="AE33" s="259"/>
      <c r="AF33" s="259"/>
      <c r="AG33" s="259"/>
      <c r="AH33" s="259"/>
      <c r="AI33" s="259"/>
      <c r="AJ33" s="259"/>
      <c r="AK33" s="259"/>
      <c r="AL33" s="1554"/>
      <c r="AS33" s="1550">
        <v>0</v>
      </c>
    </row>
    <row r="34" spans="1:45" s="2254" customFormat="1" ht="18.75" hidden="1" customHeight="1">
      <c r="A34" s="1167"/>
      <c r="B34" s="1167"/>
      <c r="C34" s="1167"/>
      <c r="D34" s="1167"/>
      <c r="E34" s="1167"/>
      <c r="F34" s="1167"/>
      <c r="G34" s="1167"/>
      <c r="H34" s="1167"/>
      <c r="I34" s="1167"/>
      <c r="J34" s="1167"/>
      <c r="K34" s="1167"/>
      <c r="L34" s="1299"/>
      <c r="M34" s="1167"/>
      <c r="N34" s="1167"/>
      <c r="O34" s="1167"/>
      <c r="S34" s="2475" t="s">
        <v>423</v>
      </c>
      <c r="T34" s="2475"/>
      <c r="U34" s="1291"/>
      <c r="V34" s="2485" t="str">
        <f>IF(TITLE_DATE_PR_CHANGE="",IF(TITLE_DATE_PR="","",TITLE_DATE_PR),TITLE_DATE_PR_CHANGE)</f>
        <v/>
      </c>
      <c r="W34" s="2485"/>
      <c r="X34" s="2485"/>
      <c r="Y34" s="2485"/>
      <c r="Z34" s="2485"/>
      <c r="AA34" s="2485"/>
      <c r="AB34" s="2485"/>
      <c r="AC34" s="1554"/>
      <c r="AD34" s="2485" t="str">
        <f>IF(TITLE_DATE_PR_CHANGE="",IF(TITLE_DATE_PR="","",TITLE_DATE_PR),TITLE_DATE_PR_CHANGE)</f>
        <v/>
      </c>
      <c r="AE34" s="2485"/>
      <c r="AF34" s="2485"/>
      <c r="AG34" s="2485"/>
      <c r="AH34" s="2485"/>
      <c r="AI34" s="2485"/>
      <c r="AJ34" s="2485"/>
      <c r="AK34" s="1554"/>
      <c r="AL34" s="1554"/>
      <c r="AM34" s="217"/>
      <c r="AN34" s="305"/>
      <c r="AO34" s="305"/>
      <c r="AP34" s="305"/>
      <c r="AQ34" s="305"/>
      <c r="AR34" s="305"/>
      <c r="AS34" s="355">
        <v>0</v>
      </c>
    </row>
    <row r="35" spans="1:45" s="2254" customFormat="1" ht="18.75" hidden="1" customHeight="1">
      <c r="A35" s="1167"/>
      <c r="B35" s="1167"/>
      <c r="C35" s="1167"/>
      <c r="D35" s="1167"/>
      <c r="E35" s="1167"/>
      <c r="F35" s="1167"/>
      <c r="G35" s="1167"/>
      <c r="H35" s="1167"/>
      <c r="I35" s="1167"/>
      <c r="J35" s="1167"/>
      <c r="K35" s="1167"/>
      <c r="L35" s="1299"/>
      <c r="M35" s="1167"/>
      <c r="N35" s="1167"/>
      <c r="O35" s="1167"/>
      <c r="S35" s="2475" t="s">
        <v>424</v>
      </c>
      <c r="T35" s="2475"/>
      <c r="U35" s="1291"/>
      <c r="V35" s="2476" t="str">
        <f>IF(TITLE_NUMBER_PR_CHANGE="",IF(TITLE_NUMBER_PR="","",TITLE_NUMBER_PR),TITLE_NUMBER_PR_CHANGE)</f>
        <v/>
      </c>
      <c r="W35" s="2476"/>
      <c r="X35" s="2476"/>
      <c r="Y35" s="2476"/>
      <c r="Z35" s="2476"/>
      <c r="AA35" s="2476"/>
      <c r="AB35" s="2476"/>
      <c r="AC35" s="1554"/>
      <c r="AD35" s="2476" t="str">
        <f>IF(TITLE_NUMBER_PR_CHANGE="",IF(TITLE_NUMBER_PR="","",TITLE_NUMBER_PR),TITLE_NUMBER_PR_CHANGE)</f>
        <v/>
      </c>
      <c r="AE35" s="2476"/>
      <c r="AF35" s="2476"/>
      <c r="AG35" s="2476"/>
      <c r="AH35" s="2476"/>
      <c r="AI35" s="2476"/>
      <c r="AJ35" s="2476"/>
      <c r="AK35" s="1554"/>
      <c r="AL35" s="1554"/>
      <c r="AM35" s="217"/>
      <c r="AN35" s="305"/>
      <c r="AO35" s="305"/>
      <c r="AP35" s="305"/>
      <c r="AQ35" s="305"/>
      <c r="AR35" s="305"/>
      <c r="AS35" s="355">
        <v>0</v>
      </c>
    </row>
    <row r="36" spans="1:45" s="2254"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425</v>
      </c>
      <c r="AD36" s="1554"/>
      <c r="AE36" s="1554"/>
      <c r="AF36" s="1554"/>
      <c r="AG36" s="1554"/>
      <c r="AH36" s="1554"/>
      <c r="AI36" s="1554"/>
      <c r="AJ36" s="1554"/>
      <c r="AK36" s="1561" t="s">
        <v>425</v>
      </c>
      <c r="AN36" s="305"/>
      <c r="AO36" s="305"/>
      <c r="AP36" s="305"/>
      <c r="AQ36" s="305"/>
      <c r="AR36" s="305"/>
      <c r="AS36" s="355">
        <v>0</v>
      </c>
    </row>
    <row r="37" spans="1:45" ht="14.65" customHeight="1">
      <c r="Q37" s="313"/>
      <c r="R37" s="313"/>
      <c r="S37" s="1194"/>
      <c r="T37" s="394"/>
      <c r="U37" s="1163"/>
      <c r="V37" s="2477"/>
      <c r="W37" s="2477"/>
      <c r="X37" s="2477"/>
      <c r="Y37" s="2477"/>
      <c r="Z37" s="2477"/>
      <c r="AA37" s="2477"/>
      <c r="AB37" s="2477"/>
      <c r="AC37" s="2477"/>
      <c r="AD37" s="2477"/>
      <c r="AE37" s="2477"/>
      <c r="AF37" s="2477"/>
      <c r="AG37" s="2477"/>
      <c r="AH37" s="2477"/>
      <c r="AI37" s="2477"/>
      <c r="AJ37" s="2477"/>
      <c r="AK37" s="2477"/>
      <c r="AS37" s="1550">
        <v>14</v>
      </c>
    </row>
    <row r="38" spans="1:45" ht="14.65" customHeight="1">
      <c r="Q38" s="313"/>
      <c r="R38" s="313"/>
      <c r="S38" s="2363" t="s">
        <v>298</v>
      </c>
      <c r="T38" s="2363"/>
      <c r="U38" s="2363"/>
      <c r="V38" s="2363"/>
      <c r="W38" s="2363"/>
      <c r="X38" s="2363"/>
      <c r="Y38" s="2363"/>
      <c r="Z38" s="2363"/>
      <c r="AA38" s="2363"/>
      <c r="AB38" s="2363"/>
      <c r="AC38" s="2363"/>
      <c r="AD38" s="2363"/>
      <c r="AE38" s="2363"/>
      <c r="AF38" s="2363"/>
      <c r="AG38" s="2363"/>
      <c r="AH38" s="2363"/>
      <c r="AI38" s="2363"/>
      <c r="AJ38" s="2363"/>
      <c r="AK38" s="2363"/>
      <c r="AL38" s="2363"/>
      <c r="AM38" s="2363" t="s">
        <v>299</v>
      </c>
      <c r="AS38" s="1550">
        <v>14</v>
      </c>
    </row>
    <row r="39" spans="1:45" ht="14.65" customHeight="1">
      <c r="Q39" s="313"/>
      <c r="R39" s="313"/>
      <c r="S39" s="2491" t="s">
        <v>87</v>
      </c>
      <c r="T39" s="2442" t="s">
        <v>426</v>
      </c>
      <c r="U39" s="274"/>
      <c r="V39" s="2492" t="s">
        <v>427</v>
      </c>
      <c r="W39" s="2493"/>
      <c r="X39" s="2493"/>
      <c r="Y39" s="2493"/>
      <c r="Z39" s="2493"/>
      <c r="AA39" s="2493"/>
      <c r="AB39" s="2494"/>
      <c r="AC39" s="2495" t="s">
        <v>428</v>
      </c>
      <c r="AD39" s="2492" t="s">
        <v>427</v>
      </c>
      <c r="AE39" s="2493"/>
      <c r="AF39" s="2493"/>
      <c r="AG39" s="2493"/>
      <c r="AH39" s="2493"/>
      <c r="AI39" s="2493"/>
      <c r="AJ39" s="2494"/>
      <c r="AK39" s="2495" t="s">
        <v>429</v>
      </c>
      <c r="AL39" s="2498" t="s">
        <v>430</v>
      </c>
      <c r="AM39" s="2363"/>
      <c r="AS39" s="1550">
        <v>14</v>
      </c>
    </row>
    <row r="40" spans="1:45" ht="35.65" customHeight="1">
      <c r="Q40" s="313"/>
      <c r="R40" s="313"/>
      <c r="S40" s="2491"/>
      <c r="T40" s="2442"/>
      <c r="U40" s="955"/>
      <c r="V40" s="2411" t="s">
        <v>431</v>
      </c>
      <c r="W40" s="2501" t="s">
        <v>432</v>
      </c>
      <c r="X40" s="2335" t="s">
        <v>433</v>
      </c>
      <c r="Y40" s="2334"/>
      <c r="Z40" s="2335" t="s">
        <v>447</v>
      </c>
      <c r="AA40" s="2340"/>
      <c r="AB40" s="2334"/>
      <c r="AC40" s="2496"/>
      <c r="AD40" s="2411" t="s">
        <v>431</v>
      </c>
      <c r="AE40" s="2501" t="s">
        <v>432</v>
      </c>
      <c r="AF40" s="2335" t="s">
        <v>433</v>
      </c>
      <c r="AG40" s="2334"/>
      <c r="AH40" s="2335" t="s">
        <v>434</v>
      </c>
      <c r="AI40" s="2340"/>
      <c r="AJ40" s="2334"/>
      <c r="AK40" s="2496"/>
      <c r="AL40" s="2499"/>
      <c r="AM40" s="2363"/>
      <c r="AS40" s="1550">
        <v>34</v>
      </c>
    </row>
    <row r="41" spans="1:45" ht="35.65" customHeight="1">
      <c r="A41" s="1185"/>
      <c r="B41" s="1185" t="s">
        <v>135</v>
      </c>
      <c r="C41" s="1185" t="s">
        <v>136</v>
      </c>
      <c r="D41" s="1185" t="s">
        <v>137</v>
      </c>
      <c r="E41" s="1229" t="s">
        <v>435</v>
      </c>
      <c r="F41" s="1229" t="s">
        <v>436</v>
      </c>
      <c r="G41" s="1229" t="s">
        <v>437</v>
      </c>
      <c r="H41" s="1229" t="s">
        <v>438</v>
      </c>
      <c r="I41" s="1229" t="s">
        <v>439</v>
      </c>
      <c r="J41" s="1229" t="s">
        <v>440</v>
      </c>
      <c r="K41" s="1229" t="s">
        <v>441</v>
      </c>
      <c r="L41" s="1229" t="s">
        <v>416</v>
      </c>
      <c r="Q41" s="313"/>
      <c r="R41" s="313"/>
      <c r="S41" s="2491"/>
      <c r="T41" s="2442"/>
      <c r="U41" s="239"/>
      <c r="V41" s="2462"/>
      <c r="W41" s="2502"/>
      <c r="X41" s="1851" t="s">
        <v>442</v>
      </c>
      <c r="Y41" s="1851" t="s">
        <v>443</v>
      </c>
      <c r="Z41" s="1851" t="s">
        <v>444</v>
      </c>
      <c r="AA41" s="2451" t="s">
        <v>445</v>
      </c>
      <c r="AB41" s="2453"/>
      <c r="AC41" s="2497"/>
      <c r="AD41" s="2462"/>
      <c r="AE41" s="2502"/>
      <c r="AF41" s="1851" t="s">
        <v>442</v>
      </c>
      <c r="AG41" s="1851" t="s">
        <v>443</v>
      </c>
      <c r="AH41" s="1851" t="s">
        <v>444</v>
      </c>
      <c r="AI41" s="2451" t="s">
        <v>445</v>
      </c>
      <c r="AJ41" s="2453"/>
      <c r="AK41" s="2497"/>
      <c r="AL41" s="2500"/>
      <c r="AM41" s="2363"/>
      <c r="AS41" s="1550">
        <v>34</v>
      </c>
    </row>
    <row r="42" spans="1:45" s="2269"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108</v>
      </c>
      <c r="T42" s="1174" t="s">
        <v>109</v>
      </c>
      <c r="U42" s="1164" t="str">
        <f ca="1">OFFSET(U42,0,-1)</f>
        <v>2</v>
      </c>
      <c r="V42" s="1869">
        <f ca="1">OFFSET(V42,0,-1)+1</f>
        <v>3</v>
      </c>
      <c r="W42" s="1869"/>
      <c r="X42" s="1869">
        <f ca="1">OFFSET(X42,0,-1)+1</f>
        <v>1</v>
      </c>
      <c r="Y42" s="1869">
        <f ca="1">OFFSET(Y42,0,-1)+1</f>
        <v>2</v>
      </c>
      <c r="Z42" s="1869">
        <f ca="1">OFFSET(Z42,0,-1)+1</f>
        <v>3</v>
      </c>
      <c r="AA42" s="2490">
        <f ca="1">OFFSET(AA42,0,-1)+1</f>
        <v>4</v>
      </c>
      <c r="AB42" s="2490"/>
      <c r="AC42" s="1869">
        <f ca="1">OFFSET(AC42,0,-2)+1</f>
        <v>5</v>
      </c>
      <c r="AD42" s="1869">
        <f ca="1">OFFSET(AD42,0,-1)+1</f>
        <v>6</v>
      </c>
      <c r="AE42" s="1869"/>
      <c r="AF42" s="1869">
        <f ca="1">OFFSET(AF42,0,-1)+1</f>
        <v>1</v>
      </c>
      <c r="AG42" s="1869">
        <f ca="1">OFFSET(AG42,0,-1)+1</f>
        <v>2</v>
      </c>
      <c r="AH42" s="1869">
        <f ca="1">OFFSET(AH42,0,-1)+1</f>
        <v>3</v>
      </c>
      <c r="AI42" s="2490">
        <f ca="1">OFFSET(AI42,0,-1)+1</f>
        <v>4</v>
      </c>
      <c r="AJ42" s="2490"/>
      <c r="AK42" s="1869">
        <f ca="1">OFFSET(AK42,0,-2)+1</f>
        <v>5</v>
      </c>
      <c r="AL42" s="1164">
        <f ca="1">OFFSET(AL42,0,-1)</f>
        <v>5</v>
      </c>
      <c r="AM42" s="1869">
        <f ca="1">OFFSET(AM42,0,-1)+1</f>
        <v>6</v>
      </c>
      <c r="AN42" s="1555"/>
      <c r="AO42" s="1555"/>
      <c r="AP42" s="1555"/>
      <c r="AQ42" s="1555"/>
      <c r="AR42" s="1555"/>
      <c r="AS42" s="1560">
        <v>0</v>
      </c>
    </row>
    <row r="43" spans="1:45" ht="21.95" customHeight="1">
      <c r="A43" s="1186" t="s">
        <v>210</v>
      </c>
      <c r="B43" s="1186"/>
      <c r="C43" s="1186"/>
      <c r="D43" s="1186"/>
      <c r="E43" s="2507">
        <v>1</v>
      </c>
      <c r="F43" s="1186"/>
      <c r="G43" s="1186"/>
      <c r="H43" s="1186"/>
      <c r="I43" s="1186"/>
      <c r="J43" s="1186"/>
      <c r="K43" s="1186"/>
      <c r="L43" s="1229"/>
      <c r="M43" s="1529"/>
      <c r="N43" s="1529"/>
      <c r="O43" s="1529"/>
      <c r="P43" s="1509"/>
      <c r="Q43" s="297"/>
      <c r="R43" s="292"/>
      <c r="S43" s="1871">
        <f>INDEX(PT_DIFFERENTIATION_NUM_NTAR,MATCH(A43,PT_DIFFERENTIATION_NTAR_ID,0))</f>
        <v>0</v>
      </c>
      <c r="T43" s="1444" t="s">
        <v>123</v>
      </c>
      <c r="U43" s="237"/>
      <c r="V43" s="2469"/>
      <c r="W43" s="2470"/>
      <c r="X43" s="2470"/>
      <c r="Y43" s="2470"/>
      <c r="Z43" s="2470"/>
      <c r="AA43" s="2470"/>
      <c r="AB43" s="2470"/>
      <c r="AC43" s="2471"/>
      <c r="AD43" s="2469" t="str">
        <f>INDEX(PT_DIFFERENTIATION_NTAR,MATCH(A43,PT_DIFFERENTIATION_NTAR_ID,0))</f>
        <v/>
      </c>
      <c r="AE43" s="2470"/>
      <c r="AF43" s="2470"/>
      <c r="AG43" s="2470"/>
      <c r="AH43" s="2470"/>
      <c r="AI43" s="2470"/>
      <c r="AJ43" s="2470"/>
      <c r="AK43" s="2470"/>
      <c r="AL43" s="2471"/>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210</v>
      </c>
      <c r="B44" s="1186" t="s">
        <v>211</v>
      </c>
      <c r="C44" s="1186"/>
      <c r="D44" s="1186"/>
      <c r="E44" s="2508"/>
      <c r="F44" s="2507">
        <v>1</v>
      </c>
      <c r="G44" s="1186"/>
      <c r="H44" s="1186"/>
      <c r="I44" s="1186"/>
      <c r="J44" s="1186"/>
      <c r="K44" s="1186"/>
      <c r="L44" s="1229"/>
      <c r="M44" s="1529"/>
      <c r="N44" s="1529"/>
      <c r="O44" s="1529"/>
      <c r="P44" s="1853"/>
      <c r="Q44" s="289"/>
      <c r="R44" s="290"/>
      <c r="S44" s="1871" t="str">
        <f>INDEX(PT_DIFFERENTIATION_NUM_TER,MATCH(B44,PT_DIFFERENTIATION_TER_ID,0))</f>
        <v>.</v>
      </c>
      <c r="T44" s="1441" t="s">
        <v>395</v>
      </c>
      <c r="U44" s="237"/>
      <c r="V44" s="2469"/>
      <c r="W44" s="2470"/>
      <c r="X44" s="2470"/>
      <c r="Y44" s="2470"/>
      <c r="Z44" s="2470"/>
      <c r="AA44" s="2470"/>
      <c r="AB44" s="2470"/>
      <c r="AC44" s="2471"/>
      <c r="AD44" s="2469" t="str">
        <f>INDEX(PT_DIFFERENTIATION_TER,MATCH(B44,PT_DIFFERENTIATION_TER_ID,0))</f>
        <v/>
      </c>
      <c r="AE44" s="2470"/>
      <c r="AF44" s="2470"/>
      <c r="AG44" s="2470"/>
      <c r="AH44" s="2470"/>
      <c r="AI44" s="2470"/>
      <c r="AJ44" s="2470"/>
      <c r="AK44" s="2470"/>
      <c r="AL44" s="2471"/>
      <c r="AM44" s="1177" t="s">
        <v>396</v>
      </c>
      <c r="AO44" s="1543"/>
      <c r="AP44" s="1543" t="str">
        <f t="shared" si="1"/>
        <v>Территория действия тарифа</v>
      </c>
      <c r="AQ44" s="1543"/>
      <c r="AR44" s="1543"/>
      <c r="AS44" s="1550">
        <v>21</v>
      </c>
    </row>
    <row r="45" spans="1:45" ht="24" customHeight="1">
      <c r="A45" s="1186" t="s">
        <v>210</v>
      </c>
      <c r="B45" s="1186" t="s">
        <v>211</v>
      </c>
      <c r="C45" s="1186" t="s">
        <v>212</v>
      </c>
      <c r="D45" s="1186"/>
      <c r="E45" s="2508"/>
      <c r="F45" s="2508"/>
      <c r="G45" s="2507">
        <v>1</v>
      </c>
      <c r="H45" s="1186"/>
      <c r="I45" s="1186"/>
      <c r="J45" s="1186"/>
      <c r="K45" s="1186"/>
      <c r="L45" s="1229"/>
      <c r="M45" s="1529"/>
      <c r="N45" s="1529"/>
      <c r="O45" s="1529"/>
      <c r="P45" s="291"/>
      <c r="Q45" s="289"/>
      <c r="R45" s="290"/>
      <c r="S45" s="1871" t="str">
        <f>INDEX(PT_DIFFERENTIATION_NUM_CS,MATCH(C45,PT_DIFFERENTIATION_CS_ID,0))</f>
        <v>..</v>
      </c>
      <c r="T45" s="246" t="s">
        <v>397</v>
      </c>
      <c r="U45" s="237"/>
      <c r="V45" s="2469"/>
      <c r="W45" s="2470"/>
      <c r="X45" s="2470"/>
      <c r="Y45" s="2470"/>
      <c r="Z45" s="2470"/>
      <c r="AA45" s="2470"/>
      <c r="AB45" s="2470"/>
      <c r="AC45" s="2471"/>
      <c r="AD45" s="2469" t="str">
        <f>INDEX(PT_DIFFERENTIATION_CS,MATCH(C45,PT_DIFFERENTIATION_CS_ID,0))</f>
        <v/>
      </c>
      <c r="AE45" s="2470"/>
      <c r="AF45" s="2470"/>
      <c r="AG45" s="2470"/>
      <c r="AH45" s="2470"/>
      <c r="AI45" s="2470"/>
      <c r="AJ45" s="2470"/>
      <c r="AK45" s="2470"/>
      <c r="AL45" s="2471"/>
      <c r="AM45" s="1177" t="s">
        <v>398</v>
      </c>
      <c r="AO45" s="1543"/>
      <c r="AP45" s="1543" t="str">
        <f t="shared" si="1"/>
        <v xml:space="preserve">Наименование системы теплоснабжения </v>
      </c>
      <c r="AQ45" s="1543"/>
      <c r="AR45" s="1543"/>
      <c r="AS45" s="1550">
        <v>23</v>
      </c>
    </row>
    <row r="46" spans="1:45" ht="21.95" customHeight="1">
      <c r="A46" s="1186" t="s">
        <v>210</v>
      </c>
      <c r="B46" s="1186" t="s">
        <v>211</v>
      </c>
      <c r="C46" s="1186" t="s">
        <v>212</v>
      </c>
      <c r="D46" s="1186" t="s">
        <v>213</v>
      </c>
      <c r="E46" s="2508"/>
      <c r="F46" s="2508"/>
      <c r="G46" s="2508"/>
      <c r="H46" s="2507">
        <v>1</v>
      </c>
      <c r="I46" s="1186"/>
      <c r="J46" s="1186"/>
      <c r="K46" s="1186"/>
      <c r="L46" s="1229"/>
      <c r="M46" s="1529"/>
      <c r="N46" s="1529"/>
      <c r="O46" s="1529"/>
      <c r="P46" s="291"/>
      <c r="Q46" s="289"/>
      <c r="R46" s="290"/>
      <c r="S46" s="1871" t="str">
        <f>INDEX(PT_DIFFERENTIATION_NUM_IST_TE,MATCH(D46,PT_DIFFERENTIATION_IST_TE_ID,0))</f>
        <v>...</v>
      </c>
      <c r="T46" s="247" t="s">
        <v>399</v>
      </c>
      <c r="U46" s="237"/>
      <c r="V46" s="2469"/>
      <c r="W46" s="2470"/>
      <c r="X46" s="2470"/>
      <c r="Y46" s="2470"/>
      <c r="Z46" s="2470"/>
      <c r="AA46" s="2470"/>
      <c r="AB46" s="2470"/>
      <c r="AC46" s="2471"/>
      <c r="AD46" s="2469" t="str">
        <f>INDEX(PT_DIFFERENTIATION_IST_TE,MATCH(D46,PT_DIFFERENTIATION_IST_TE_ID,0))</f>
        <v/>
      </c>
      <c r="AE46" s="2470"/>
      <c r="AF46" s="2470"/>
      <c r="AG46" s="2470"/>
      <c r="AH46" s="2470"/>
      <c r="AI46" s="2470"/>
      <c r="AJ46" s="2470"/>
      <c r="AK46" s="2470"/>
      <c r="AL46" s="2471"/>
      <c r="AM46" s="1177" t="s">
        <v>400</v>
      </c>
      <c r="AO46" s="1543"/>
      <c r="AP46" s="1543" t="str">
        <f t="shared" si="1"/>
        <v xml:space="preserve">Источник тепловой энергии  </v>
      </c>
      <c r="AQ46" s="1543"/>
      <c r="AR46" s="1543"/>
      <c r="AS46" s="1550">
        <v>21</v>
      </c>
    </row>
    <row r="47" spans="1:45" ht="49.5" customHeight="1">
      <c r="A47" s="1186" t="s">
        <v>210</v>
      </c>
      <c r="B47" s="1186" t="s">
        <v>211</v>
      </c>
      <c r="C47" s="1186" t="s">
        <v>212</v>
      </c>
      <c r="D47" s="1186" t="s">
        <v>213</v>
      </c>
      <c r="E47" s="2508"/>
      <c r="F47" s="2508"/>
      <c r="G47" s="2508"/>
      <c r="H47" s="2508"/>
      <c r="I47" s="2363" t="str">
        <f>S46&amp;".1"</f>
        <v>....1</v>
      </c>
      <c r="J47" s="1186"/>
      <c r="K47" s="1186"/>
      <c r="L47" s="1229" t="s">
        <v>401</v>
      </c>
      <c r="P47" s="2482">
        <v>1</v>
      </c>
      <c r="Q47" s="1867"/>
      <c r="R47" s="293"/>
      <c r="S47" s="1871" t="str">
        <f>$I47</f>
        <v>....1</v>
      </c>
      <c r="T47" s="222" t="s">
        <v>402</v>
      </c>
      <c r="U47" s="237"/>
      <c r="V47" s="2472"/>
      <c r="W47" s="2473"/>
      <c r="X47" s="2473"/>
      <c r="Y47" s="2473"/>
      <c r="Z47" s="2473"/>
      <c r="AA47" s="2473"/>
      <c r="AB47" s="2473"/>
      <c r="AC47" s="2474"/>
      <c r="AD47" s="2472"/>
      <c r="AE47" s="2473"/>
      <c r="AF47" s="2473"/>
      <c r="AG47" s="2473"/>
      <c r="AH47" s="2473"/>
      <c r="AI47" s="2473"/>
      <c r="AJ47" s="2473"/>
      <c r="AK47" s="2473"/>
      <c r="AL47" s="2474"/>
      <c r="AM47" s="1177" t="s">
        <v>403</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210</v>
      </c>
      <c r="B48" s="1186" t="s">
        <v>211</v>
      </c>
      <c r="C48" s="1186" t="s">
        <v>212</v>
      </c>
      <c r="D48" s="1186" t="s">
        <v>213</v>
      </c>
      <c r="E48" s="2508"/>
      <c r="F48" s="2508"/>
      <c r="G48" s="2508"/>
      <c r="H48" s="2508"/>
      <c r="I48" s="2335"/>
      <c r="J48" s="2363" t="str">
        <f>I47&amp;".1"</f>
        <v>....1.1</v>
      </c>
      <c r="K48" s="1186"/>
      <c r="L48" s="1229" t="s">
        <v>404</v>
      </c>
      <c r="P48" s="2482"/>
      <c r="Q48" s="2482">
        <v>1</v>
      </c>
      <c r="R48" s="294"/>
      <c r="S48" s="1871" t="str">
        <f>$J48</f>
        <v>....1.1</v>
      </c>
      <c r="T48" s="223" t="s">
        <v>405</v>
      </c>
      <c r="U48" s="237"/>
      <c r="V48" s="2472"/>
      <c r="W48" s="2473"/>
      <c r="X48" s="2473"/>
      <c r="Y48" s="2473"/>
      <c r="Z48" s="2473"/>
      <c r="AA48" s="2473"/>
      <c r="AB48" s="2473"/>
      <c r="AC48" s="2474"/>
      <c r="AD48" s="2472"/>
      <c r="AE48" s="2473"/>
      <c r="AF48" s="2473"/>
      <c r="AG48" s="2473"/>
      <c r="AH48" s="2473"/>
      <c r="AI48" s="2473"/>
      <c r="AJ48" s="2473"/>
      <c r="AK48" s="2473"/>
      <c r="AL48" s="2474"/>
      <c r="AM48" s="1177" t="s">
        <v>406</v>
      </c>
      <c r="AO48" s="1543"/>
      <c r="AP48" s="1543" t="str">
        <f t="shared" si="1"/>
        <v>Группа потребителей</v>
      </c>
      <c r="AQ48" s="1543"/>
      <c r="AR48" s="1543"/>
      <c r="AS48" s="1550">
        <v>21</v>
      </c>
    </row>
    <row r="49" spans="1:45" ht="21.95" customHeight="1">
      <c r="A49" s="1186" t="s">
        <v>210</v>
      </c>
      <c r="B49" s="1186" t="s">
        <v>211</v>
      </c>
      <c r="C49" s="1186" t="s">
        <v>212</v>
      </c>
      <c r="D49" s="1186" t="s">
        <v>213</v>
      </c>
      <c r="E49" s="2508"/>
      <c r="F49" s="2508"/>
      <c r="G49" s="2508"/>
      <c r="H49" s="2508"/>
      <c r="I49" s="2335"/>
      <c r="J49" s="2335"/>
      <c r="K49" s="2363" t="str">
        <f>J48&amp;".1"</f>
        <v>....1.1.1</v>
      </c>
      <c r="L49" s="1229" t="s">
        <v>407</v>
      </c>
      <c r="P49" s="2482"/>
      <c r="Q49" s="2482"/>
      <c r="R49" s="294">
        <v>1</v>
      </c>
      <c r="S49" s="1871" t="str">
        <f>$K49</f>
        <v>....1.1.1</v>
      </c>
      <c r="T49" s="1266"/>
      <c r="U49" s="237"/>
      <c r="V49" s="688"/>
      <c r="W49" s="262"/>
      <c r="X49" s="688"/>
      <c r="Y49" s="1176"/>
      <c r="Z49" s="2486"/>
      <c r="AA49" s="2344" t="s">
        <v>64</v>
      </c>
      <c r="AB49" s="2486"/>
      <c r="AC49" s="2344" t="s">
        <v>64</v>
      </c>
      <c r="AD49" s="688"/>
      <c r="AE49" s="262"/>
      <c r="AF49" s="688"/>
      <c r="AG49" s="1176"/>
      <c r="AH49" s="2486"/>
      <c r="AI49" s="2344" t="s">
        <v>64</v>
      </c>
      <c r="AJ49" s="2505"/>
      <c r="AK49" s="2344" t="s">
        <v>64</v>
      </c>
      <c r="AL49" s="1267"/>
      <c r="AM49" s="2478" t="s">
        <v>408</v>
      </c>
      <c r="AN49" s="1555" t="e">
        <f ca="1">STRCHECKDATE(V50:AL50)</f>
        <v>#NAME?</v>
      </c>
      <c r="AO49" s="1543"/>
      <c r="AP49" s="1543" t="str">
        <f t="shared" si="1"/>
        <v/>
      </c>
      <c r="AQ49" s="1543"/>
      <c r="AR49" s="1543"/>
      <c r="AS49" s="1550">
        <v>21</v>
      </c>
    </row>
    <row r="50" spans="1:45" ht="1.1499999999999999" customHeight="1">
      <c r="A50" s="1186" t="s">
        <v>210</v>
      </c>
      <c r="B50" s="1186" t="s">
        <v>211</v>
      </c>
      <c r="C50" s="1186" t="s">
        <v>212</v>
      </c>
      <c r="D50" s="1186" t="s">
        <v>213</v>
      </c>
      <c r="E50" s="2508"/>
      <c r="F50" s="2508"/>
      <c r="G50" s="2508"/>
      <c r="H50" s="2508"/>
      <c r="I50" s="2335"/>
      <c r="J50" s="2335"/>
      <c r="K50" s="2363"/>
      <c r="L50" s="1229"/>
      <c r="P50" s="2482"/>
      <c r="Q50" s="2482"/>
      <c r="R50" s="294"/>
      <c r="S50" s="1880"/>
      <c r="T50" s="237"/>
      <c r="U50" s="237"/>
      <c r="V50" s="262"/>
      <c r="W50" s="262"/>
      <c r="X50" s="262"/>
      <c r="Y50" s="265" t="str">
        <f>Z49&amp;"-"&amp;AB49</f>
        <v>-</v>
      </c>
      <c r="Z50" s="2487"/>
      <c r="AA50" s="2344"/>
      <c r="AB50" s="2487"/>
      <c r="AC50" s="2344"/>
      <c r="AD50" s="262"/>
      <c r="AE50" s="262"/>
      <c r="AF50" s="262"/>
      <c r="AG50" s="265" t="str">
        <f>AH49&amp;"-"&amp;AJ49</f>
        <v>-</v>
      </c>
      <c r="AH50" s="2487"/>
      <c r="AI50" s="2344"/>
      <c r="AJ50" s="2506"/>
      <c r="AK50" s="2344"/>
      <c r="AL50" s="1268"/>
      <c r="AM50" s="2479"/>
      <c r="AO50" s="1543"/>
      <c r="AP50" s="1543" t="str">
        <f t="shared" si="1"/>
        <v/>
      </c>
      <c r="AQ50" s="1543"/>
      <c r="AR50" s="1543"/>
      <c r="AS50" s="1550">
        <v>1</v>
      </c>
    </row>
    <row r="51" spans="1:45" ht="11.45" customHeight="1">
      <c r="A51" s="1186" t="s">
        <v>210</v>
      </c>
      <c r="B51" s="1186" t="s">
        <v>211</v>
      </c>
      <c r="C51" s="1186" t="s">
        <v>212</v>
      </c>
      <c r="D51" s="1186" t="s">
        <v>213</v>
      </c>
      <c r="E51" s="2508"/>
      <c r="F51" s="2508"/>
      <c r="G51" s="2508"/>
      <c r="H51" s="2508"/>
      <c r="I51" s="2335"/>
      <c r="J51" s="2363"/>
      <c r="K51" s="1186"/>
      <c r="L51" s="1229"/>
      <c r="P51" s="2482"/>
      <c r="Q51" s="2482"/>
      <c r="R51" s="293"/>
      <c r="S51" s="1197"/>
      <c r="T51" s="225" t="s">
        <v>409</v>
      </c>
      <c r="U51" s="537"/>
      <c r="V51" s="537"/>
      <c r="W51" s="537"/>
      <c r="X51" s="537"/>
      <c r="Y51" s="537"/>
      <c r="Z51" s="537"/>
      <c r="AA51" s="537"/>
      <c r="AB51" s="537"/>
      <c r="AC51" s="537"/>
      <c r="AD51" s="537"/>
      <c r="AE51" s="537"/>
      <c r="AF51" s="537"/>
      <c r="AG51" s="537"/>
      <c r="AH51" s="537"/>
      <c r="AI51" s="537"/>
      <c r="AJ51" s="537"/>
      <c r="AK51" s="537"/>
      <c r="AL51" s="261"/>
      <c r="AM51" s="2480"/>
      <c r="AO51" s="1543"/>
      <c r="AP51" s="1543" t="str">
        <f t="shared" si="1"/>
        <v>Добавить вид теплоносителя (параметры теплоносителя)</v>
      </c>
      <c r="AQ51" s="1543"/>
      <c r="AR51" s="1543"/>
      <c r="AS51" s="1550">
        <v>11</v>
      </c>
    </row>
    <row r="52" spans="1:45" ht="11.45" customHeight="1">
      <c r="A52" s="1186" t="s">
        <v>210</v>
      </c>
      <c r="B52" s="1186" t="s">
        <v>211</v>
      </c>
      <c r="C52" s="1186" t="s">
        <v>212</v>
      </c>
      <c r="D52" s="1186" t="s">
        <v>213</v>
      </c>
      <c r="E52" s="2508"/>
      <c r="F52" s="2508"/>
      <c r="G52" s="2508"/>
      <c r="H52" s="2508"/>
      <c r="I52" s="2363"/>
      <c r="J52" s="1186"/>
      <c r="K52" s="1186"/>
      <c r="L52" s="1229"/>
      <c r="P52" s="2482"/>
      <c r="Q52" s="1867"/>
      <c r="R52" s="293"/>
      <c r="S52" s="1197"/>
      <c r="T52" s="224" t="s">
        <v>410</v>
      </c>
      <c r="U52" s="537"/>
      <c r="V52" s="537"/>
      <c r="W52" s="537"/>
      <c r="X52" s="537"/>
      <c r="Y52" s="537"/>
      <c r="Z52" s="537"/>
      <c r="AA52" s="537"/>
      <c r="AB52" s="537"/>
      <c r="AC52" s="303"/>
      <c r="AD52" s="537"/>
      <c r="AE52" s="537"/>
      <c r="AF52" s="537"/>
      <c r="AG52" s="537"/>
      <c r="AH52" s="537"/>
      <c r="AI52" s="537"/>
      <c r="AJ52" s="537"/>
      <c r="AK52" s="303"/>
      <c r="AL52" s="537"/>
      <c r="AM52" s="240"/>
      <c r="AO52" s="1543"/>
      <c r="AP52" s="1543" t="str">
        <f t="shared" si="1"/>
        <v>Добавить группу потребителей</v>
      </c>
      <c r="AQ52" s="1543"/>
      <c r="AR52" s="1543"/>
      <c r="AS52" s="1550">
        <v>11</v>
      </c>
    </row>
    <row r="53" spans="1:45" ht="14.65" customHeight="1">
      <c r="A53" s="1186" t="s">
        <v>210</v>
      </c>
      <c r="B53" s="1186" t="s">
        <v>211</v>
      </c>
      <c r="C53" s="1186" t="s">
        <v>212</v>
      </c>
      <c r="D53" s="1186" t="s">
        <v>213</v>
      </c>
      <c r="E53" s="2508"/>
      <c r="F53" s="2508"/>
      <c r="G53" s="2508"/>
      <c r="H53" s="2507"/>
      <c r="I53" s="1186"/>
      <c r="J53" s="1186"/>
      <c r="K53" s="1186"/>
      <c r="L53" s="1229"/>
      <c r="M53" s="1529"/>
      <c r="N53" s="1529"/>
      <c r="O53" s="1554"/>
      <c r="P53" s="297"/>
      <c r="Q53" s="312"/>
      <c r="R53" s="292"/>
      <c r="S53" s="1197"/>
      <c r="T53" s="302" t="s">
        <v>411</v>
      </c>
      <c r="U53" s="537"/>
      <c r="V53" s="537"/>
      <c r="W53" s="537"/>
      <c r="X53" s="537"/>
      <c r="Y53" s="537"/>
      <c r="Z53" s="537"/>
      <c r="AA53" s="537"/>
      <c r="AB53" s="537"/>
      <c r="AC53" s="303"/>
      <c r="AD53" s="537"/>
      <c r="AE53" s="537"/>
      <c r="AF53" s="537"/>
      <c r="AG53" s="537"/>
      <c r="AH53" s="537"/>
      <c r="AI53" s="537"/>
      <c r="AJ53" s="537"/>
      <c r="AK53" s="303"/>
      <c r="AL53" s="537"/>
      <c r="AM53" s="240"/>
      <c r="AO53" s="1543"/>
      <c r="AP53" s="1543" t="str">
        <f t="shared" si="1"/>
        <v>Добавить схему подключения</v>
      </c>
      <c r="AQ53" s="1543"/>
      <c r="AR53" s="1543"/>
      <c r="AS53" s="1550">
        <v>14</v>
      </c>
    </row>
    <row r="54" spans="1:45" s="2245" customFormat="1" ht="1.1499999999999999" customHeight="1">
      <c r="A54" s="1186" t="s">
        <v>210</v>
      </c>
      <c r="B54" s="1186" t="s">
        <v>211</v>
      </c>
      <c r="C54" s="1186" t="s">
        <v>212</v>
      </c>
      <c r="D54" s="1887"/>
      <c r="E54" s="2508"/>
      <c r="F54" s="2508"/>
      <c r="G54" s="2507"/>
      <c r="H54" s="1887"/>
      <c r="I54" s="1887"/>
      <c r="J54" s="1887"/>
      <c r="K54" s="1887"/>
      <c r="L54" s="1299"/>
      <c r="M54" s="1529"/>
      <c r="N54" s="1529"/>
      <c r="O54" s="1554"/>
      <c r="P54" s="1235"/>
      <c r="Q54" s="1236"/>
      <c r="R54" s="1235"/>
      <c r="S54" s="1241"/>
      <c r="T54" s="1244" t="s">
        <v>412</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1</v>
      </c>
    </row>
    <row r="55" spans="1:45" s="2245" customFormat="1" ht="1.1499999999999999" customHeight="1">
      <c r="A55" s="1186" t="s">
        <v>210</v>
      </c>
      <c r="B55" s="1186" t="s">
        <v>211</v>
      </c>
      <c r="C55" s="1887"/>
      <c r="D55" s="1887"/>
      <c r="E55" s="2508"/>
      <c r="F55" s="2507"/>
      <c r="G55" s="1887"/>
      <c r="H55" s="1887"/>
      <c r="I55" s="1887"/>
      <c r="J55" s="1887"/>
      <c r="K55" s="1887"/>
      <c r="L55" s="1299"/>
      <c r="M55" s="1888"/>
      <c r="N55" s="1888"/>
      <c r="O55" s="1554"/>
      <c r="P55" s="1235"/>
      <c r="Q55" s="1236"/>
      <c r="R55" s="1235"/>
      <c r="S55" s="1241"/>
      <c r="T55" s="1244" t="s">
        <v>413</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1</v>
      </c>
    </row>
    <row r="56" spans="1:45" s="2245" customFormat="1" ht="1.1499999999999999" customHeight="1">
      <c r="A56" s="1186" t="s">
        <v>210</v>
      </c>
      <c r="B56" s="1186"/>
      <c r="C56" s="1186"/>
      <c r="D56" s="1186"/>
      <c r="E56" s="2507"/>
      <c r="F56" s="1186"/>
      <c r="G56" s="1186"/>
      <c r="H56" s="1186"/>
      <c r="I56" s="1186"/>
      <c r="J56" s="1186"/>
      <c r="K56" s="1186"/>
      <c r="L56" s="1229"/>
      <c r="M56" s="1888"/>
      <c r="N56" s="1888"/>
      <c r="O56" s="1554"/>
      <c r="P56" s="317"/>
      <c r="Q56" s="1263"/>
      <c r="R56" s="317"/>
      <c r="S56" s="1241"/>
      <c r="T56" s="1244" t="s">
        <v>414</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1</v>
      </c>
    </row>
    <row r="57" spans="1:45" s="2245" customFormat="1" ht="1.1499999999999999" customHeight="1">
      <c r="A57" s="1887"/>
      <c r="B57" s="1887"/>
      <c r="C57" s="1887"/>
      <c r="D57" s="1887"/>
      <c r="E57" s="1186"/>
      <c r="F57" s="1887"/>
      <c r="G57" s="1887"/>
      <c r="H57" s="1887"/>
      <c r="I57" s="1887"/>
      <c r="J57" s="1887"/>
      <c r="K57" s="1887"/>
      <c r="L57" s="1299"/>
      <c r="M57" s="1888"/>
      <c r="N57" s="1888"/>
      <c r="O57" s="1554"/>
      <c r="P57" s="1235"/>
      <c r="Q57" s="1236"/>
      <c r="R57" s="1235"/>
      <c r="S57" s="1241"/>
      <c r="T57" s="1244" t="s">
        <v>446</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1</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503"/>
      <c r="U59" s="2503"/>
      <c r="V59" s="2503"/>
      <c r="W59" s="2503"/>
      <c r="X59" s="2503"/>
      <c r="Y59" s="2503"/>
      <c r="Z59" s="2503"/>
      <c r="AA59" s="2503"/>
      <c r="AB59" s="2503"/>
      <c r="AC59" s="2503"/>
      <c r="AD59" s="2503"/>
      <c r="AE59" s="2503"/>
      <c r="AF59" s="2503"/>
      <c r="AG59" s="2503"/>
      <c r="AH59" s="2503"/>
      <c r="AI59" s="2503"/>
      <c r="AJ59" s="2503"/>
      <c r="AK59" s="2503"/>
      <c r="AL59" s="2503"/>
      <c r="AM59" s="2503"/>
      <c r="AS59" s="1550">
        <v>27</v>
      </c>
    </row>
    <row r="60" spans="1:45" ht="65.25" customHeight="1">
      <c r="O60" s="1554"/>
      <c r="T60" s="2503"/>
      <c r="U60" s="2503"/>
      <c r="V60" s="2503"/>
      <c r="W60" s="2503"/>
      <c r="X60" s="2503"/>
      <c r="Y60" s="2503"/>
      <c r="Z60" s="2503"/>
      <c r="AA60" s="2503"/>
      <c r="AB60" s="2503"/>
      <c r="AC60" s="2503"/>
      <c r="AD60" s="2503"/>
      <c r="AE60" s="2503"/>
      <c r="AF60" s="2503"/>
      <c r="AG60" s="2503"/>
      <c r="AH60" s="2503"/>
      <c r="AI60" s="2503"/>
      <c r="AJ60" s="2503"/>
      <c r="AK60" s="2503"/>
      <c r="AL60" s="2503"/>
      <c r="AM60" s="2503"/>
      <c r="AS60" s="1550">
        <v>62</v>
      </c>
    </row>
    <row r="61" spans="1:45" ht="14.65" customHeight="1">
      <c r="O61" s="1554"/>
      <c r="AS61" s="1550">
        <v>14</v>
      </c>
    </row>
    <row r="62" spans="1:45" ht="18.75" customHeight="1">
      <c r="O62" s="1554"/>
      <c r="S62" s="1172"/>
      <c r="T62" s="2503"/>
      <c r="U62" s="2503"/>
      <c r="V62" s="2503"/>
      <c r="W62" s="2503"/>
      <c r="X62" s="2503"/>
      <c r="Y62" s="2503"/>
      <c r="Z62" s="2503"/>
      <c r="AA62" s="2503"/>
      <c r="AB62" s="2503"/>
      <c r="AC62" s="2503"/>
      <c r="AD62" s="2503"/>
      <c r="AE62" s="2503"/>
      <c r="AF62" s="2503"/>
      <c r="AG62" s="2503"/>
      <c r="AH62" s="2503"/>
      <c r="AI62" s="2503"/>
      <c r="AJ62" s="2503"/>
      <c r="AK62" s="2503"/>
      <c r="AL62" s="2503"/>
      <c r="AM62" s="2503"/>
      <c r="AS62" s="1550">
        <v>18</v>
      </c>
    </row>
    <row r="63" spans="1:45" ht="18.75" customHeight="1">
      <c r="O63" s="1554"/>
      <c r="T63" s="2503"/>
      <c r="U63" s="2503"/>
      <c r="V63" s="2503"/>
      <c r="W63" s="2503"/>
      <c r="X63" s="2503"/>
      <c r="Y63" s="2503"/>
      <c r="Z63" s="2503"/>
      <c r="AA63" s="2503"/>
      <c r="AB63" s="2503"/>
      <c r="AC63" s="2503"/>
      <c r="AD63" s="2503"/>
      <c r="AE63" s="2503"/>
      <c r="AF63" s="2503"/>
      <c r="AG63" s="2503"/>
      <c r="AH63" s="2503"/>
      <c r="AI63" s="2503"/>
      <c r="AJ63" s="2503"/>
      <c r="AK63" s="2503"/>
      <c r="AL63" s="2503"/>
      <c r="AM63" s="2503"/>
      <c r="AS63" s="1550">
        <v>18</v>
      </c>
    </row>
    <row r="64" spans="1:45" ht="29.25" customHeight="1">
      <c r="O64" s="1554"/>
      <c r="S64" s="1172"/>
      <c r="T64" s="2503"/>
      <c r="U64" s="2503"/>
      <c r="V64" s="2503"/>
      <c r="W64" s="2503"/>
      <c r="X64" s="2503"/>
      <c r="Y64" s="2503"/>
      <c r="Z64" s="2503"/>
      <c r="AA64" s="2503"/>
      <c r="AB64" s="2503"/>
      <c r="AC64" s="2503"/>
      <c r="AD64" s="2503"/>
      <c r="AE64" s="2503"/>
      <c r="AF64" s="2503"/>
      <c r="AG64" s="2503"/>
      <c r="AH64" s="2503"/>
      <c r="AI64" s="2503"/>
      <c r="AJ64" s="2503"/>
      <c r="AK64" s="2503"/>
      <c r="AL64" s="2503"/>
      <c r="AM64" s="2503"/>
      <c r="AS64" s="1550">
        <v>28</v>
      </c>
    </row>
    <row r="65" spans="1:45" ht="22.5" hidden="1" customHeight="1">
      <c r="A65" s="1550" t="s">
        <v>81</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1">
        <v>3</v>
      </c>
      <c r="R65" s="281">
        <v>3</v>
      </c>
      <c r="S65" s="518">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44" hidden="1"/>
    <col min="2" max="2" width="11" style="2244" hidden="1" customWidth="1"/>
    <col min="3" max="3" width="10.5703125" style="2244" hidden="1"/>
    <col min="4" max="4" width="11.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2" style="2244" hidden="1" customWidth="1"/>
    <col min="10" max="10" width="9.85546875" style="2244" hidden="1" customWidth="1"/>
    <col min="11" max="11" width="11.42578125" style="2244" hidden="1" customWidth="1"/>
    <col min="12" max="12" width="19.140625" style="2270" hidden="1" customWidth="1"/>
    <col min="13" max="14" width="12.28515625" style="2271" hidden="1" customWidth="1"/>
    <col min="15" max="15" width="23.42578125" style="2271" hidden="1" customWidth="1"/>
    <col min="16" max="16" width="3" style="2272" customWidth="1"/>
    <col min="17" max="18" width="3" style="2273" customWidth="1"/>
    <col min="19" max="19" width="12" style="2274" customWidth="1"/>
    <col min="20" max="20" width="31" style="2238" customWidth="1"/>
    <col min="21" max="21" width="0.7109375" style="2238" hidden="1" customWidth="1"/>
    <col min="22" max="22" width="1.7109375" style="2238" hidden="1" customWidth="1"/>
    <col min="23" max="23" width="24.7109375" style="2238" hidden="1" customWidth="1"/>
    <col min="24" max="25" width="0.140625" style="2238" hidden="1" customWidth="1"/>
    <col min="26" max="26" width="11.7109375" style="2238" hidden="1" customWidth="1"/>
    <col min="27" max="27" width="3.7109375" style="2238" hidden="1" customWidth="1"/>
    <col min="28" max="28" width="11.7109375" style="2238" hidden="1" customWidth="1"/>
    <col min="29" max="29" width="8.5703125" style="2238" hidden="1" customWidth="1"/>
    <col min="30" max="30" width="0.140625" style="2238" customWidth="1"/>
    <col min="31" max="31" width="24" style="2238" customWidth="1"/>
    <col min="32" max="33" width="0.140625" style="2238" customWidth="1"/>
    <col min="34" max="34" width="11" style="2238" customWidth="1"/>
    <col min="35" max="35" width="3.7109375" style="2238" customWidth="1"/>
    <col min="36" max="36" width="11" style="2238" customWidth="1"/>
    <col min="37" max="37" width="8.5703125" style="2238" hidden="1" customWidth="1"/>
    <col min="38" max="38" width="4" style="2238" customWidth="1"/>
    <col min="39" max="39" width="115" style="2238" customWidth="1"/>
    <col min="40" max="44" width="10" style="2245" customWidth="1"/>
    <col min="45" max="45" width="10.5703125" style="2238" hidden="1"/>
  </cols>
  <sheetData>
    <row r="1" spans="1:45" ht="22.5" hidden="1" customHeight="1">
      <c r="Y1" s="264"/>
      <c r="Z1" s="264"/>
      <c r="AG1" s="264"/>
      <c r="AH1" s="264"/>
      <c r="AS1" s="1074" t="s">
        <v>14</v>
      </c>
    </row>
    <row r="2" spans="1:45" ht="21" hidden="1" customHeight="1">
      <c r="A2" s="1282"/>
      <c r="B2" s="1282"/>
      <c r="C2" s="1282"/>
      <c r="D2" s="1282"/>
      <c r="E2" s="2483">
        <v>1</v>
      </c>
      <c r="F2" s="1282"/>
      <c r="G2" s="1282"/>
      <c r="H2" s="1282"/>
      <c r="I2" s="1282"/>
      <c r="J2" s="1282"/>
      <c r="K2" s="1282"/>
      <c r="L2" s="1283"/>
      <c r="M2" s="1284"/>
      <c r="N2" s="1284"/>
      <c r="O2" s="1284"/>
      <c r="P2" s="298"/>
      <c r="Q2" s="297"/>
      <c r="R2" s="292"/>
      <c r="S2" s="1255" t="e">
        <f>INDEX(PT_DIFFERENTIATION_NUM_NTAR,MATCH(A2,PT_DIFFERENTIATION_NTAR_ID,0))</f>
        <v>#N/A</v>
      </c>
      <c r="T2" s="235" t="s">
        <v>123</v>
      </c>
      <c r="U2" s="237"/>
      <c r="V2" s="2469"/>
      <c r="W2" s="2470"/>
      <c r="X2" s="2470"/>
      <c r="Y2" s="2470"/>
      <c r="Z2" s="2470"/>
      <c r="AA2" s="2470"/>
      <c r="AB2" s="2470"/>
      <c r="AC2" s="2471"/>
      <c r="AD2" s="2469" t="e">
        <f>INDEX(PT_DIFFERENTIATION_NTAR,MATCH(A2,PT_DIFFERENTIATION_NTAR_ID,0))</f>
        <v>#N/A</v>
      </c>
      <c r="AE2" s="2470"/>
      <c r="AF2" s="2470"/>
      <c r="AG2" s="2470"/>
      <c r="AH2" s="2470"/>
      <c r="AI2" s="2470"/>
      <c r="AJ2" s="2470"/>
      <c r="AK2" s="2470"/>
      <c r="AL2" s="2471"/>
      <c r="AM2" s="1177" t="s">
        <v>394</v>
      </c>
      <c r="AO2" s="437"/>
      <c r="AP2" s="437" t="str">
        <f t="shared" ref="AP2:AP15" si="0">IF(T2="","",T2)</f>
        <v>Наименование тарифа</v>
      </c>
      <c r="AQ2" s="437"/>
      <c r="AR2" s="437"/>
      <c r="AS2" s="1074">
        <v>0</v>
      </c>
    </row>
    <row r="3" spans="1:45" ht="21" hidden="1" customHeight="1">
      <c r="A3" s="1282"/>
      <c r="B3" s="1282"/>
      <c r="C3" s="1282"/>
      <c r="D3" s="1282"/>
      <c r="E3" s="2484"/>
      <c r="F3" s="2483">
        <v>1</v>
      </c>
      <c r="G3" s="1282"/>
      <c r="H3" s="1282"/>
      <c r="I3" s="1282"/>
      <c r="J3" s="1282"/>
      <c r="K3" s="1282"/>
      <c r="L3" s="1283"/>
      <c r="M3" s="1284"/>
      <c r="N3" s="1284"/>
      <c r="O3" s="1284"/>
      <c r="P3" s="1251"/>
      <c r="Q3" s="289"/>
      <c r="R3" s="290"/>
      <c r="S3" s="1255" t="e">
        <f>INDEX(PT_DIFFERENTIATION_NUM_TER,MATCH(B3,PT_DIFFERENTIATION_TER_ID,0))</f>
        <v>#N/A</v>
      </c>
      <c r="T3" s="245" t="s">
        <v>395</v>
      </c>
      <c r="U3" s="237"/>
      <c r="V3" s="2469"/>
      <c r="W3" s="2470"/>
      <c r="X3" s="2470"/>
      <c r="Y3" s="2470"/>
      <c r="Z3" s="2470"/>
      <c r="AA3" s="2470"/>
      <c r="AB3" s="2470"/>
      <c r="AC3" s="2471"/>
      <c r="AD3" s="2469" t="e">
        <f>INDEX(PT_DIFFERENTIATION_TER,MATCH(B3,PT_DIFFERENTIATION_TER_ID,0))</f>
        <v>#N/A</v>
      </c>
      <c r="AE3" s="2470"/>
      <c r="AF3" s="2470"/>
      <c r="AG3" s="2470"/>
      <c r="AH3" s="2470"/>
      <c r="AI3" s="2470"/>
      <c r="AJ3" s="2470"/>
      <c r="AK3" s="2470"/>
      <c r="AL3" s="2471"/>
      <c r="AM3" s="1177" t="s">
        <v>396</v>
      </c>
      <c r="AO3" s="437"/>
      <c r="AP3" s="437" t="str">
        <f t="shared" si="0"/>
        <v>Территория действия тарифа</v>
      </c>
      <c r="AQ3" s="437"/>
      <c r="AR3" s="437"/>
      <c r="AS3" s="1074">
        <v>0</v>
      </c>
    </row>
    <row r="4" spans="1:45" ht="23.25" hidden="1" customHeight="1">
      <c r="A4" s="1282"/>
      <c r="B4" s="1282"/>
      <c r="C4" s="1282"/>
      <c r="D4" s="1282"/>
      <c r="E4" s="2484"/>
      <c r="F4" s="2484"/>
      <c r="G4" s="2483">
        <v>1</v>
      </c>
      <c r="H4" s="1282"/>
      <c r="I4" s="1282"/>
      <c r="J4" s="1282"/>
      <c r="K4" s="1282"/>
      <c r="L4" s="1283"/>
      <c r="M4" s="1284"/>
      <c r="N4" s="1284"/>
      <c r="O4" s="1284"/>
      <c r="P4" s="291"/>
      <c r="Q4" s="289"/>
      <c r="R4" s="290"/>
      <c r="S4" s="1255" t="e">
        <f>INDEX(PT_DIFFERENTIATION_NUM_CS,MATCH(C4,PT_DIFFERENTIATION_CS_ID,0))</f>
        <v>#N/A</v>
      </c>
      <c r="T4" s="246" t="s">
        <v>397</v>
      </c>
      <c r="U4" s="237"/>
      <c r="V4" s="2469"/>
      <c r="W4" s="2470"/>
      <c r="X4" s="2470"/>
      <c r="Y4" s="2470"/>
      <c r="Z4" s="2470"/>
      <c r="AA4" s="2470"/>
      <c r="AB4" s="2470"/>
      <c r="AC4" s="2471"/>
      <c r="AD4" s="2469" t="e">
        <f>INDEX(PT_DIFFERENTIATION_CS,MATCH(C4,PT_DIFFERENTIATION_CS_ID,0))</f>
        <v>#N/A</v>
      </c>
      <c r="AE4" s="2470"/>
      <c r="AF4" s="2470"/>
      <c r="AG4" s="2470"/>
      <c r="AH4" s="2470"/>
      <c r="AI4" s="2470"/>
      <c r="AJ4" s="2470"/>
      <c r="AK4" s="2470"/>
      <c r="AL4" s="2471"/>
      <c r="AM4" s="1177" t="s">
        <v>398</v>
      </c>
      <c r="AO4" s="437"/>
      <c r="AP4" s="437" t="str">
        <f t="shared" si="0"/>
        <v xml:space="preserve">Наименование системы теплоснабжения </v>
      </c>
      <c r="AQ4" s="437"/>
      <c r="AR4" s="437"/>
      <c r="AS4" s="1074">
        <v>0</v>
      </c>
    </row>
    <row r="5" spans="1:45" ht="21" hidden="1" customHeight="1">
      <c r="A5" s="1282"/>
      <c r="B5" s="1282"/>
      <c r="C5" s="1282"/>
      <c r="D5" s="1282"/>
      <c r="E5" s="2484"/>
      <c r="F5" s="2484"/>
      <c r="G5" s="2484"/>
      <c r="H5" s="2483">
        <v>1</v>
      </c>
      <c r="I5" s="1282"/>
      <c r="J5" s="1282"/>
      <c r="K5" s="1282"/>
      <c r="L5" s="1283"/>
      <c r="M5" s="1284"/>
      <c r="N5" s="1284"/>
      <c r="O5" s="1284"/>
      <c r="P5" s="291"/>
      <c r="Q5" s="289"/>
      <c r="R5" s="290"/>
      <c r="S5" s="1255" t="e">
        <f>INDEX(PT_DIFFERENTIATION_NUM_IST_TE,MATCH(D5,PT_DIFFERENTIATION_IST_TE_ID,0))</f>
        <v>#N/A</v>
      </c>
      <c r="T5" s="247" t="s">
        <v>399</v>
      </c>
      <c r="U5" s="237"/>
      <c r="V5" s="2469"/>
      <c r="W5" s="2470"/>
      <c r="X5" s="2470"/>
      <c r="Y5" s="2470"/>
      <c r="Z5" s="2470"/>
      <c r="AA5" s="2470"/>
      <c r="AB5" s="2470"/>
      <c r="AC5" s="2471"/>
      <c r="AD5" s="2469" t="e">
        <f>INDEX(PT_DIFFERENTIATION_IST_TE,MATCH(D5,PT_DIFFERENTIATION_IST_TE_ID,0))</f>
        <v>#N/A</v>
      </c>
      <c r="AE5" s="2470"/>
      <c r="AF5" s="2470"/>
      <c r="AG5" s="2470"/>
      <c r="AH5" s="2470"/>
      <c r="AI5" s="2470"/>
      <c r="AJ5" s="2470"/>
      <c r="AK5" s="2470"/>
      <c r="AL5" s="2471"/>
      <c r="AM5" s="1177" t="s">
        <v>400</v>
      </c>
      <c r="AO5" s="437"/>
      <c r="AP5" s="437" t="str">
        <f t="shared" si="0"/>
        <v xml:space="preserve">Источник тепловой энергии  </v>
      </c>
      <c r="AQ5" s="437"/>
      <c r="AR5" s="437"/>
      <c r="AS5" s="1074">
        <v>0</v>
      </c>
    </row>
    <row r="6" spans="1:45" ht="47.25" hidden="1" customHeight="1">
      <c r="A6" s="1282"/>
      <c r="B6" s="1282"/>
      <c r="C6" s="1282"/>
      <c r="D6" s="1282"/>
      <c r="E6" s="2484"/>
      <c r="F6" s="2484"/>
      <c r="G6" s="2484"/>
      <c r="H6" s="2484"/>
      <c r="I6" s="2481" t="e">
        <f>S5&amp;".1"</f>
        <v>#N/A</v>
      </c>
      <c r="J6" s="1282"/>
      <c r="K6" s="1282"/>
      <c r="L6" s="1283" t="s">
        <v>401</v>
      </c>
      <c r="M6" s="474"/>
      <c r="P6" s="2482">
        <v>1</v>
      </c>
      <c r="Q6" s="1250"/>
      <c r="R6" s="293"/>
      <c r="S6" s="1255" t="e">
        <f>$I6</f>
        <v>#N/A</v>
      </c>
      <c r="T6" s="222" t="s">
        <v>402</v>
      </c>
      <c r="U6" s="237"/>
      <c r="V6" s="2472"/>
      <c r="W6" s="2473"/>
      <c r="X6" s="2473"/>
      <c r="Y6" s="2473"/>
      <c r="Z6" s="2473"/>
      <c r="AA6" s="2473"/>
      <c r="AB6" s="2473"/>
      <c r="AC6" s="2474"/>
      <c r="AD6" s="2472"/>
      <c r="AE6" s="2473"/>
      <c r="AF6" s="2473"/>
      <c r="AG6" s="2473"/>
      <c r="AH6" s="2473"/>
      <c r="AI6" s="2473"/>
      <c r="AJ6" s="2473"/>
      <c r="AK6" s="2473"/>
      <c r="AL6" s="2474"/>
      <c r="AM6" s="1177" t="s">
        <v>403</v>
      </c>
      <c r="AO6" s="437"/>
      <c r="AP6" s="437" t="str">
        <f t="shared" si="0"/>
        <v>Схема подключения теплопотребляющей установки к коллектору источника тепловой энергии</v>
      </c>
      <c r="AQ6" s="437"/>
      <c r="AR6" s="437"/>
      <c r="AS6" s="1074">
        <v>0</v>
      </c>
    </row>
    <row r="7" spans="1:45" ht="21" hidden="1" customHeight="1">
      <c r="A7" s="1282"/>
      <c r="B7" s="1282"/>
      <c r="C7" s="1282"/>
      <c r="D7" s="1282"/>
      <c r="E7" s="2484"/>
      <c r="F7" s="2484"/>
      <c r="G7" s="2484"/>
      <c r="H7" s="2484"/>
      <c r="I7" s="2504"/>
      <c r="J7" s="2481" t="e">
        <f>I6&amp;".1"</f>
        <v>#N/A</v>
      </c>
      <c r="K7" s="1282"/>
      <c r="L7" s="1283" t="s">
        <v>404</v>
      </c>
      <c r="M7" s="474"/>
      <c r="N7" s="1285"/>
      <c r="P7" s="2482"/>
      <c r="Q7" s="2482">
        <v>1</v>
      </c>
      <c r="R7" s="294"/>
      <c r="S7" s="1255" t="e">
        <f>$J7</f>
        <v>#N/A</v>
      </c>
      <c r="T7" s="223" t="s">
        <v>405</v>
      </c>
      <c r="U7" s="237"/>
      <c r="V7" s="2472"/>
      <c r="W7" s="2473"/>
      <c r="X7" s="2473"/>
      <c r="Y7" s="2473"/>
      <c r="Z7" s="2473"/>
      <c r="AA7" s="2473"/>
      <c r="AB7" s="2473"/>
      <c r="AC7" s="2474"/>
      <c r="AD7" s="2472"/>
      <c r="AE7" s="2473"/>
      <c r="AF7" s="2473"/>
      <c r="AG7" s="2473"/>
      <c r="AH7" s="2473"/>
      <c r="AI7" s="2473"/>
      <c r="AJ7" s="2473"/>
      <c r="AK7" s="2473"/>
      <c r="AL7" s="2474"/>
      <c r="AM7" s="1177" t="s">
        <v>406</v>
      </c>
      <c r="AO7" s="437"/>
      <c r="AP7" s="437" t="str">
        <f t="shared" si="0"/>
        <v>Группа потребителей</v>
      </c>
      <c r="AQ7" s="437"/>
      <c r="AR7" s="437"/>
      <c r="AS7" s="1074">
        <v>0</v>
      </c>
    </row>
    <row r="8" spans="1:45" ht="21" hidden="1" customHeight="1">
      <c r="A8" s="1282"/>
      <c r="B8" s="1282"/>
      <c r="C8" s="1282"/>
      <c r="D8" s="1282"/>
      <c r="E8" s="2484"/>
      <c r="F8" s="2484"/>
      <c r="G8" s="2484"/>
      <c r="H8" s="2484"/>
      <c r="I8" s="2504"/>
      <c r="J8" s="2504"/>
      <c r="K8" s="2481" t="e">
        <f>J7&amp;".1"</f>
        <v>#N/A</v>
      </c>
      <c r="L8" s="1283" t="s">
        <v>407</v>
      </c>
      <c r="M8" s="474"/>
      <c r="N8" s="1285"/>
      <c r="O8" s="1285"/>
      <c r="P8" s="2482"/>
      <c r="Q8" s="2482"/>
      <c r="R8" s="294">
        <v>1</v>
      </c>
      <c r="S8" s="1255" t="e">
        <f>$K8</f>
        <v>#N/A</v>
      </c>
      <c r="T8" s="1266"/>
      <c r="U8" s="237"/>
      <c r="V8" s="262"/>
      <c r="W8" s="688"/>
      <c r="X8" s="262"/>
      <c r="Y8" s="321"/>
      <c r="Z8" s="2486"/>
      <c r="AA8" s="2344" t="s">
        <v>64</v>
      </c>
      <c r="AB8" s="2486"/>
      <c r="AC8" s="2344" t="s">
        <v>64</v>
      </c>
      <c r="AD8" s="262"/>
      <c r="AE8" s="688"/>
      <c r="AF8" s="262"/>
      <c r="AG8" s="321"/>
      <c r="AH8" s="2486"/>
      <c r="AI8" s="2344" t="s">
        <v>64</v>
      </c>
      <c r="AJ8" s="2486"/>
      <c r="AK8" s="2344" t="s">
        <v>64</v>
      </c>
      <c r="AL8" s="262"/>
      <c r="AM8" s="2478" t="s">
        <v>408</v>
      </c>
      <c r="AN8" s="448" t="e">
        <f ca="1">STRCHECKDATE(V9:AL9)</f>
        <v>#NAME?</v>
      </c>
      <c r="AO8" s="437"/>
      <c r="AP8" s="437" t="str">
        <f t="shared" si="0"/>
        <v/>
      </c>
      <c r="AQ8" s="437"/>
      <c r="AR8" s="437"/>
      <c r="AS8" s="1074">
        <v>0</v>
      </c>
    </row>
    <row r="9" spans="1:45" ht="0.75" hidden="1" customHeight="1">
      <c r="A9" s="1282"/>
      <c r="B9" s="1282"/>
      <c r="C9" s="1282"/>
      <c r="D9" s="1282"/>
      <c r="E9" s="2484"/>
      <c r="F9" s="2484"/>
      <c r="G9" s="2484"/>
      <c r="H9" s="2484"/>
      <c r="I9" s="2504"/>
      <c r="J9" s="2504"/>
      <c r="K9" s="2481"/>
      <c r="L9" s="1283"/>
      <c r="M9" s="474"/>
      <c r="N9" s="1285"/>
      <c r="O9" s="1285"/>
      <c r="P9" s="2482"/>
      <c r="Q9" s="2482"/>
      <c r="R9" s="294"/>
      <c r="S9" s="1261"/>
      <c r="T9" s="237"/>
      <c r="U9" s="237"/>
      <c r="V9" s="262"/>
      <c r="W9" s="262"/>
      <c r="X9" s="262"/>
      <c r="Y9" s="265" t="str">
        <f>Z8&amp;"-"&amp;AB8</f>
        <v>-</v>
      </c>
      <c r="Z9" s="2487"/>
      <c r="AA9" s="2344"/>
      <c r="AB9" s="2487"/>
      <c r="AC9" s="2344"/>
      <c r="AD9" s="262"/>
      <c r="AE9" s="262"/>
      <c r="AF9" s="262"/>
      <c r="AG9" s="265" t="str">
        <f>AH8&amp;"-"&amp;AJ8</f>
        <v>-</v>
      </c>
      <c r="AH9" s="2487"/>
      <c r="AI9" s="2344"/>
      <c r="AJ9" s="2487"/>
      <c r="AK9" s="2344"/>
      <c r="AL9" s="262"/>
      <c r="AM9" s="2479"/>
      <c r="AO9" s="437"/>
      <c r="AP9" s="437" t="str">
        <f t="shared" si="0"/>
        <v/>
      </c>
      <c r="AQ9" s="437"/>
      <c r="AR9" s="437"/>
      <c r="AS9" s="1074">
        <v>0</v>
      </c>
    </row>
    <row r="10" spans="1:45" ht="15" hidden="1" customHeight="1">
      <c r="A10" s="1282"/>
      <c r="B10" s="1282"/>
      <c r="C10" s="1282"/>
      <c r="D10" s="1282"/>
      <c r="E10" s="2484"/>
      <c r="F10" s="2484"/>
      <c r="G10" s="2484"/>
      <c r="H10" s="2484"/>
      <c r="I10" s="2504"/>
      <c r="J10" s="2481"/>
      <c r="K10" s="1282"/>
      <c r="L10" s="1283"/>
      <c r="M10" s="474"/>
      <c r="N10" s="1285"/>
      <c r="P10" s="2482"/>
      <c r="Q10" s="2482"/>
      <c r="R10" s="293"/>
      <c r="S10" s="1197"/>
      <c r="T10" s="225" t="s">
        <v>409</v>
      </c>
      <c r="U10" s="304"/>
      <c r="V10" s="304"/>
      <c r="W10" s="304"/>
      <c r="X10" s="304"/>
      <c r="Y10" s="304"/>
      <c r="Z10" s="304"/>
      <c r="AA10" s="304"/>
      <c r="AB10" s="304"/>
      <c r="AC10" s="304"/>
      <c r="AD10" s="304"/>
      <c r="AE10" s="304"/>
      <c r="AF10" s="304"/>
      <c r="AG10" s="304"/>
      <c r="AH10" s="304"/>
      <c r="AI10" s="304"/>
      <c r="AJ10" s="304"/>
      <c r="AK10" s="304"/>
      <c r="AL10" s="261"/>
      <c r="AM10" s="2480"/>
      <c r="AO10" s="437"/>
      <c r="AP10" s="437" t="str">
        <f t="shared" si="0"/>
        <v>Добавить вид теплоносителя (параметры теплоносителя)</v>
      </c>
      <c r="AQ10" s="437"/>
      <c r="AR10" s="437"/>
      <c r="AS10" s="1074">
        <v>0</v>
      </c>
    </row>
    <row r="11" spans="1:45" ht="15" hidden="1" customHeight="1">
      <c r="A11" s="1282"/>
      <c r="B11" s="1282"/>
      <c r="C11" s="1282"/>
      <c r="D11" s="1282"/>
      <c r="E11" s="2484"/>
      <c r="F11" s="2484"/>
      <c r="G11" s="2484"/>
      <c r="H11" s="2484"/>
      <c r="I11" s="2481"/>
      <c r="J11" s="1282"/>
      <c r="K11" s="1282"/>
      <c r="L11" s="1283"/>
      <c r="M11" s="474"/>
      <c r="P11" s="2482"/>
      <c r="Q11" s="1250"/>
      <c r="R11" s="293"/>
      <c r="S11" s="1197"/>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4">
        <v>0</v>
      </c>
    </row>
    <row r="12" spans="1:45" ht="14.25" hidden="1" customHeight="1">
      <c r="A12" s="1282"/>
      <c r="B12" s="1282"/>
      <c r="C12" s="1282"/>
      <c r="D12" s="1282"/>
      <c r="E12" s="2484"/>
      <c r="F12" s="2484"/>
      <c r="G12" s="2484"/>
      <c r="H12" s="2483"/>
      <c r="I12" s="1282"/>
      <c r="J12" s="1282"/>
      <c r="K12" s="1282"/>
      <c r="L12" s="1283"/>
      <c r="M12" s="1284"/>
      <c r="N12" s="1284"/>
      <c r="O12" s="474"/>
      <c r="P12" s="297"/>
      <c r="Q12" s="312"/>
      <c r="R12" s="292"/>
      <c r="S12" s="1197"/>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74">
        <v>0</v>
      </c>
    </row>
    <row r="13" spans="1:45" s="2245" customFormat="1" ht="0.75" hidden="1" customHeight="1">
      <c r="A13" s="1233"/>
      <c r="B13" s="1233"/>
      <c r="C13" s="1233"/>
      <c r="D13" s="1233"/>
      <c r="E13" s="2484"/>
      <c r="F13" s="2484"/>
      <c r="G13" s="2483"/>
      <c r="H13" s="1233"/>
      <c r="I13" s="1233"/>
      <c r="J13" s="1233"/>
      <c r="K13" s="1233"/>
      <c r="L13" s="1258"/>
      <c r="M13" s="1234"/>
      <c r="N13" s="1234"/>
      <c r="P13" s="1235"/>
      <c r="Q13" s="1236"/>
      <c r="R13" s="1235"/>
      <c r="S13" s="1237"/>
      <c r="T13" s="1238" t="s">
        <v>412</v>
      </c>
      <c r="U13" s="1239"/>
      <c r="V13" s="1239"/>
      <c r="W13" s="1239"/>
      <c r="X13" s="1239"/>
      <c r="Y13" s="1239"/>
      <c r="Z13" s="1239"/>
      <c r="AA13" s="1239"/>
      <c r="AB13" s="1239"/>
      <c r="AC13" s="1239"/>
      <c r="AD13" s="1239"/>
      <c r="AE13" s="1239"/>
      <c r="AF13" s="1239"/>
      <c r="AG13" s="1239"/>
      <c r="AH13" s="1239"/>
      <c r="AI13" s="1239"/>
      <c r="AJ13" s="1239"/>
      <c r="AK13" s="1239"/>
      <c r="AL13" s="1239"/>
      <c r="AM13" s="1239"/>
      <c r="AO13" s="720"/>
      <c r="AP13" s="720" t="str">
        <f t="shared" si="0"/>
        <v>Добавить источник для дифференциации</v>
      </c>
      <c r="AQ13" s="720"/>
      <c r="AR13" s="720"/>
      <c r="AS13" s="455">
        <v>0</v>
      </c>
    </row>
    <row r="14" spans="1:45" s="2245" customFormat="1" ht="0.75" hidden="1" customHeight="1">
      <c r="A14" s="1233"/>
      <c r="B14" s="1233"/>
      <c r="C14" s="1233"/>
      <c r="D14" s="1233"/>
      <c r="E14" s="2484"/>
      <c r="F14" s="2483"/>
      <c r="G14" s="1233"/>
      <c r="H14" s="1233"/>
      <c r="I14" s="1233"/>
      <c r="J14" s="1233"/>
      <c r="K14" s="1233"/>
      <c r="L14" s="1258"/>
      <c r="M14" s="1240"/>
      <c r="N14" s="1240"/>
      <c r="P14" s="1235"/>
      <c r="Q14" s="1236"/>
      <c r="R14" s="1235"/>
      <c r="S14" s="1241"/>
      <c r="T14" s="1242" t="s">
        <v>413</v>
      </c>
      <c r="U14" s="1243"/>
      <c r="V14" s="1243"/>
      <c r="W14" s="1243"/>
      <c r="X14" s="1243"/>
      <c r="Y14" s="1243"/>
      <c r="Z14" s="1243"/>
      <c r="AA14" s="1243"/>
      <c r="AB14" s="1243"/>
      <c r="AC14" s="1243"/>
      <c r="AD14" s="1243"/>
      <c r="AE14" s="1243"/>
      <c r="AF14" s="1243"/>
      <c r="AG14" s="1243"/>
      <c r="AH14" s="1243"/>
      <c r="AI14" s="1243"/>
      <c r="AJ14" s="1243"/>
      <c r="AK14" s="1243"/>
      <c r="AL14" s="1243"/>
      <c r="AM14" s="1243"/>
      <c r="AO14" s="720"/>
      <c r="AP14" s="720" t="str">
        <f t="shared" si="0"/>
        <v>Добавить централизованную систему для дифференциации</v>
      </c>
      <c r="AQ14" s="720"/>
      <c r="AR14" s="720"/>
      <c r="AS14" s="455">
        <v>0</v>
      </c>
    </row>
    <row r="15" spans="1:45" s="2245" customFormat="1" ht="0.75" hidden="1" customHeight="1">
      <c r="A15" s="1233"/>
      <c r="B15" s="1233"/>
      <c r="C15" s="1233"/>
      <c r="D15" s="1233"/>
      <c r="E15" s="2483"/>
      <c r="F15" s="1233"/>
      <c r="G15" s="1233"/>
      <c r="H15" s="1233"/>
      <c r="I15" s="1233"/>
      <c r="J15" s="1233"/>
      <c r="K15" s="1233"/>
      <c r="L15" s="1258"/>
      <c r="M15" s="1240"/>
      <c r="N15" s="1240"/>
      <c r="P15" s="1235"/>
      <c r="Q15" s="1236"/>
      <c r="R15" s="1235"/>
      <c r="S15" s="1241"/>
      <c r="T15" s="1244" t="s">
        <v>414</v>
      </c>
      <c r="U15" s="1243"/>
      <c r="V15" s="1243"/>
      <c r="W15" s="1243"/>
      <c r="X15" s="1243"/>
      <c r="Y15" s="1243"/>
      <c r="Z15" s="1243"/>
      <c r="AA15" s="1243"/>
      <c r="AB15" s="1243"/>
      <c r="AC15" s="1243"/>
      <c r="AD15" s="1243"/>
      <c r="AE15" s="1243"/>
      <c r="AF15" s="1243"/>
      <c r="AG15" s="1243"/>
      <c r="AH15" s="1243"/>
      <c r="AI15" s="1243"/>
      <c r="AJ15" s="1243"/>
      <c r="AK15" s="1243"/>
      <c r="AL15" s="1243"/>
      <c r="AM15" s="1243"/>
      <c r="AO15" s="720"/>
      <c r="AP15" s="720" t="str">
        <f t="shared" si="0"/>
        <v>Добавить территорию для дифференциации</v>
      </c>
      <c r="AQ15" s="720"/>
      <c r="AR15" s="720"/>
      <c r="AS15" s="455">
        <v>0</v>
      </c>
    </row>
    <row r="16" spans="1:45" ht="14.25" hidden="1" customHeight="1">
      <c r="AC16" s="264"/>
      <c r="AK16" s="264"/>
      <c r="AS16" s="1074">
        <v>0</v>
      </c>
    </row>
    <row r="17" spans="1:45" ht="14.25" hidden="1" customHeight="1">
      <c r="AD17" s="1279"/>
      <c r="AE17" s="1279"/>
      <c r="AF17" s="1279"/>
      <c r="AG17" s="1280"/>
      <c r="AH17" s="2488"/>
      <c r="AI17" s="2489" t="s">
        <v>64</v>
      </c>
      <c r="AJ17" s="2488"/>
      <c r="AK17" s="2489" t="s">
        <v>64</v>
      </c>
      <c r="AS17" s="1074">
        <v>0</v>
      </c>
    </row>
    <row r="18" spans="1:45" ht="14.25" hidden="1" customHeight="1">
      <c r="AD18" s="1279"/>
      <c r="AE18" s="1279"/>
      <c r="AF18" s="1279"/>
      <c r="AG18" s="265" t="str">
        <f>AH17&amp;"-"&amp;AJ17</f>
        <v>-</v>
      </c>
      <c r="AH18" s="2489"/>
      <c r="AI18" s="2489"/>
      <c r="AJ18" s="2489"/>
      <c r="AK18" s="2489"/>
      <c r="AS18" s="1074">
        <v>0</v>
      </c>
    </row>
    <row r="19" spans="1:45" ht="14.25" hidden="1" customHeight="1">
      <c r="AK19" s="264"/>
      <c r="AS19" s="1074">
        <v>0</v>
      </c>
    </row>
    <row r="20" spans="1:45" s="2244" customFormat="1" ht="22.5" hidden="1" customHeight="1">
      <c r="L20" s="1248"/>
      <c r="M20" s="1281"/>
      <c r="N20" s="1281"/>
      <c r="O20" s="1286" t="s">
        <v>415</v>
      </c>
      <c r="P20" s="1281"/>
      <c r="Q20" s="1290"/>
      <c r="R20" s="1290"/>
      <c r="S20" s="666"/>
      <c r="Z20" s="1286"/>
      <c r="AB20" s="1286"/>
      <c r="AC20" s="1285"/>
      <c r="AH20" s="1286"/>
      <c r="AJ20" s="1286"/>
      <c r="AK20" s="1285"/>
      <c r="AN20" s="448"/>
      <c r="AO20" s="448"/>
      <c r="AP20" s="448"/>
      <c r="AQ20" s="448"/>
      <c r="AR20" s="448"/>
      <c r="AS20" s="1079">
        <v>0</v>
      </c>
    </row>
    <row r="21" spans="1:45" s="2244" customFormat="1" ht="14.25" hidden="1" customHeight="1">
      <c r="L21" s="1248"/>
      <c r="M21" s="1281"/>
      <c r="N21" s="1281"/>
      <c r="O21" s="1281"/>
      <c r="P21" s="1281"/>
      <c r="Q21" s="1290"/>
      <c r="R21" s="1290"/>
      <c r="S21" s="666"/>
      <c r="AC21" s="1285"/>
      <c r="AK21" s="1285"/>
      <c r="AN21" s="448"/>
      <c r="AO21" s="448"/>
      <c r="AP21" s="448"/>
      <c r="AQ21" s="448"/>
      <c r="AR21" s="448"/>
      <c r="AS21" s="1079">
        <v>0</v>
      </c>
    </row>
    <row r="22" spans="1:45" s="2244" customFormat="1" ht="33.75" hidden="1" customHeight="1">
      <c r="L22" s="1248"/>
      <c r="M22" s="1281"/>
      <c r="N22" s="1281"/>
      <c r="O22" s="1283" t="s">
        <v>416</v>
      </c>
      <c r="P22" s="1281"/>
      <c r="Q22" s="1290"/>
      <c r="R22" s="1290"/>
      <c r="S22" s="666"/>
      <c r="T22" s="1079" t="s">
        <v>417</v>
      </c>
      <c r="AA22" s="123" t="s">
        <v>418</v>
      </c>
      <c r="AC22" s="123" t="s">
        <v>419</v>
      </c>
      <c r="AD22" s="1079" t="s">
        <v>417</v>
      </c>
      <c r="AI22" s="123" t="s">
        <v>420</v>
      </c>
      <c r="AK22" s="123" t="s">
        <v>419</v>
      </c>
      <c r="AN22" s="448"/>
      <c r="AO22" s="448"/>
      <c r="AP22" s="448"/>
      <c r="AQ22" s="448"/>
      <c r="AR22" s="448"/>
      <c r="AS22" s="1079">
        <v>0</v>
      </c>
    </row>
    <row r="23" spans="1:45" ht="14.25" hidden="1" customHeight="1">
      <c r="O23" s="1283"/>
      <c r="AS23" s="1074">
        <v>0</v>
      </c>
    </row>
    <row r="24" spans="1:45" ht="14.25" hidden="1" customHeight="1">
      <c r="O24" s="1283"/>
      <c r="AS24" s="1074">
        <v>0</v>
      </c>
    </row>
    <row r="25" spans="1:45" ht="14.65" customHeight="1">
      <c r="Q25" s="313"/>
      <c r="R25" s="313"/>
      <c r="S25" s="1194"/>
      <c r="T25" s="300"/>
      <c r="U25" s="300"/>
      <c r="V25" s="446"/>
      <c r="W25" s="446"/>
      <c r="X25" s="446"/>
      <c r="Y25" s="446"/>
      <c r="Z25" s="446"/>
      <c r="AA25" s="446"/>
      <c r="AB25" s="446"/>
      <c r="AC25" s="446"/>
      <c r="AD25" s="446"/>
      <c r="AE25" s="446"/>
      <c r="AF25" s="446"/>
      <c r="AG25" s="446"/>
      <c r="AH25" s="446"/>
      <c r="AI25" s="446"/>
      <c r="AJ25" s="446"/>
      <c r="AK25" s="446"/>
      <c r="AS25" s="1074">
        <v>14</v>
      </c>
    </row>
    <row r="26" spans="1:45" ht="29.25" customHeight="1">
      <c r="Q26" s="313"/>
      <c r="R26" s="313"/>
      <c r="S26" s="24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67"/>
      <c r="U26" s="2467"/>
      <c r="V26" s="2467"/>
      <c r="W26" s="2467"/>
      <c r="X26" s="2467"/>
      <c r="Y26" s="2467"/>
      <c r="Z26" s="2467"/>
      <c r="AA26" s="2467"/>
      <c r="AB26" s="2467"/>
      <c r="AC26" s="2467"/>
      <c r="AD26" s="2467"/>
      <c r="AE26" s="2467"/>
      <c r="AF26" s="2467"/>
      <c r="AG26" s="2467"/>
      <c r="AH26" s="2467"/>
      <c r="AI26" s="2467"/>
      <c r="AJ26" s="2467"/>
      <c r="AK26" s="1162"/>
      <c r="AS26" s="1074">
        <v>28</v>
      </c>
    </row>
    <row r="27" spans="1:45" ht="14.65" customHeight="1">
      <c r="Q27" s="313"/>
      <c r="R27" s="313"/>
      <c r="S27" s="2412" t="str">
        <f>IF(org=0,"Не определено",org)</f>
        <v>МУП "Водоканал"</v>
      </c>
      <c r="T27" s="2412"/>
      <c r="U27" s="2412"/>
      <c r="V27" s="2412"/>
      <c r="W27" s="2412"/>
      <c r="X27" s="2412"/>
      <c r="Y27" s="2412"/>
      <c r="Z27" s="2412"/>
      <c r="AA27" s="2412"/>
      <c r="AB27" s="2412"/>
      <c r="AC27" s="2412"/>
      <c r="AD27" s="2412"/>
      <c r="AE27" s="2412"/>
      <c r="AF27" s="2412"/>
      <c r="AG27" s="2412"/>
      <c r="AH27" s="2412"/>
      <c r="AI27" s="2412"/>
      <c r="AJ27" s="2412"/>
      <c r="AK27" s="1162"/>
      <c r="AS27" s="1074">
        <v>14</v>
      </c>
    </row>
    <row r="28" spans="1:45" ht="14.25" hidden="1" customHeight="1">
      <c r="Q28" s="313"/>
      <c r="R28" s="313"/>
      <c r="S28" s="1194"/>
      <c r="T28" s="300"/>
      <c r="U28" s="300"/>
      <c r="V28" s="259"/>
      <c r="W28" s="259"/>
      <c r="X28" s="259"/>
      <c r="Y28" s="259"/>
      <c r="Z28" s="259"/>
      <c r="AA28" s="259"/>
      <c r="AB28" s="259"/>
      <c r="AC28" s="259"/>
      <c r="AD28" s="259"/>
      <c r="AE28" s="259"/>
      <c r="AF28" s="259"/>
      <c r="AG28" s="259"/>
      <c r="AH28" s="259"/>
      <c r="AI28" s="259"/>
      <c r="AJ28" s="259"/>
      <c r="AK28" s="259"/>
      <c r="AL28" s="446"/>
      <c r="AS28" s="1074">
        <v>0</v>
      </c>
    </row>
    <row r="29" spans="1:45" s="2254" customFormat="1" ht="25.5" hidden="1" customHeight="1">
      <c r="A29" s="1287"/>
      <c r="B29" s="1287"/>
      <c r="C29" s="1287"/>
      <c r="D29" s="1287"/>
      <c r="E29" s="1287"/>
      <c r="F29" s="1287"/>
      <c r="G29" s="1287"/>
      <c r="H29" s="1287"/>
      <c r="I29" s="1287"/>
      <c r="J29" s="1287"/>
      <c r="K29" s="1287"/>
      <c r="L29" s="1288"/>
      <c r="M29" s="1287"/>
      <c r="N29" s="1287"/>
      <c r="O29" s="1287"/>
      <c r="S29" s="2475" t="s">
        <v>41</v>
      </c>
      <c r="T29" s="2475"/>
      <c r="U29" s="1291"/>
      <c r="V29" s="2476" t="str">
        <f>IF(TITLE_NAME_OR_PR_CHANGE="",IF(TITLE_NAME_OR_PR="","",TITLE_NAME_OR_PR),TITLE_NAME_OR_PR_CHANGE)</f>
        <v/>
      </c>
      <c r="W29" s="2476"/>
      <c r="X29" s="2476"/>
      <c r="Y29" s="2476"/>
      <c r="Z29" s="2476"/>
      <c r="AA29" s="2476"/>
      <c r="AB29" s="2476"/>
      <c r="AC29" s="263"/>
      <c r="AD29" s="2476" t="str">
        <f>IF(TITLE_NAME_OR_PR_CHANGE="",IF(TITLE_NAME_OR_PR="","",TITLE_NAME_OR_PR),TITLE_NAME_OR_PR_CHANGE)</f>
        <v/>
      </c>
      <c r="AE29" s="2476"/>
      <c r="AF29" s="2476"/>
      <c r="AG29" s="2476"/>
      <c r="AH29" s="2476"/>
      <c r="AI29" s="2476"/>
      <c r="AJ29" s="2476"/>
      <c r="AK29" s="263"/>
      <c r="AL29" s="263"/>
      <c r="AM29" s="217"/>
      <c r="AN29" s="305"/>
      <c r="AO29" s="305"/>
      <c r="AP29" s="305"/>
      <c r="AQ29" s="305"/>
      <c r="AR29" s="305"/>
      <c r="AS29" s="355">
        <v>0</v>
      </c>
    </row>
    <row r="30" spans="1:45" s="2254" customFormat="1" ht="18.75" hidden="1" customHeight="1">
      <c r="A30" s="1287"/>
      <c r="B30" s="1287"/>
      <c r="C30" s="1287"/>
      <c r="D30" s="1287"/>
      <c r="E30" s="1287"/>
      <c r="F30" s="1287"/>
      <c r="G30" s="1287"/>
      <c r="H30" s="1287"/>
      <c r="I30" s="1287"/>
      <c r="J30" s="1287"/>
      <c r="K30" s="1287"/>
      <c r="L30" s="1288"/>
      <c r="M30" s="1287"/>
      <c r="N30" s="1287"/>
      <c r="O30" s="1287"/>
      <c r="S30" s="2475" t="s">
        <v>421</v>
      </c>
      <c r="T30" s="2475"/>
      <c r="U30" s="1291"/>
      <c r="V30" s="2485" t="str">
        <f>IF(TITLE_DATE_PR_CHANGE="",IF(TITLE_DATE_PR="","",TITLE_DATE_PR),TITLE_DATE_PR_CHANGE)</f>
        <v/>
      </c>
      <c r="W30" s="2485"/>
      <c r="X30" s="2485"/>
      <c r="Y30" s="2485"/>
      <c r="Z30" s="2485"/>
      <c r="AA30" s="2485"/>
      <c r="AB30" s="2485"/>
      <c r="AC30" s="263"/>
      <c r="AD30" s="2485" t="str">
        <f>IF(TITLE_DATE_PR_CHANGE="",IF(TITLE_DATE_PR="","",TITLE_DATE_PR),TITLE_DATE_PR_CHANGE)</f>
        <v/>
      </c>
      <c r="AE30" s="2485"/>
      <c r="AF30" s="2485"/>
      <c r="AG30" s="2485"/>
      <c r="AH30" s="2485"/>
      <c r="AI30" s="2485"/>
      <c r="AJ30" s="2485"/>
      <c r="AK30" s="263"/>
      <c r="AL30" s="263"/>
      <c r="AM30" s="217"/>
      <c r="AN30" s="305"/>
      <c r="AO30" s="305"/>
      <c r="AP30" s="305"/>
      <c r="AQ30" s="305"/>
      <c r="AR30" s="305"/>
      <c r="AS30" s="355">
        <v>0</v>
      </c>
    </row>
    <row r="31" spans="1:45" s="2254" customFormat="1" ht="18.75" hidden="1" customHeight="1">
      <c r="A31" s="1287"/>
      <c r="B31" s="1287"/>
      <c r="C31" s="1287"/>
      <c r="D31" s="1287"/>
      <c r="E31" s="1287"/>
      <c r="F31" s="1287"/>
      <c r="G31" s="1287"/>
      <c r="H31" s="1287"/>
      <c r="I31" s="1287"/>
      <c r="J31" s="1287"/>
      <c r="K31" s="1287"/>
      <c r="L31" s="1288"/>
      <c r="M31" s="1287"/>
      <c r="N31" s="1287"/>
      <c r="O31" s="1287"/>
      <c r="S31" s="2475" t="s">
        <v>422</v>
      </c>
      <c r="T31" s="2475"/>
      <c r="U31" s="1291"/>
      <c r="V31" s="2476" t="str">
        <f>IF(TITLE_NUMBER_PR_CHANGE="",IF(TITLE_NUMBER_PR="","",TITLE_NUMBER_PR),TITLE_NUMBER_PR_CHANGE)</f>
        <v/>
      </c>
      <c r="W31" s="2476"/>
      <c r="X31" s="2476"/>
      <c r="Y31" s="2476"/>
      <c r="Z31" s="2476"/>
      <c r="AA31" s="2476"/>
      <c r="AB31" s="2476"/>
      <c r="AC31" s="263"/>
      <c r="AD31" s="2476" t="str">
        <f>IF(TITLE_NUMBER_PR_CHANGE="",IF(TITLE_NUMBER_PR="","",TITLE_NUMBER_PR),TITLE_NUMBER_PR_CHANGE)</f>
        <v/>
      </c>
      <c r="AE31" s="2476"/>
      <c r="AF31" s="2476"/>
      <c r="AG31" s="2476"/>
      <c r="AH31" s="2476"/>
      <c r="AI31" s="2476"/>
      <c r="AJ31" s="2476"/>
      <c r="AK31" s="263"/>
      <c r="AL31" s="263"/>
      <c r="AM31" s="217"/>
      <c r="AN31" s="305"/>
      <c r="AO31" s="305"/>
      <c r="AP31" s="305"/>
      <c r="AQ31" s="305"/>
      <c r="AR31" s="305"/>
      <c r="AS31" s="355">
        <v>0</v>
      </c>
    </row>
    <row r="32" spans="1:45" s="2254" customFormat="1" ht="18.75" hidden="1" customHeight="1">
      <c r="A32" s="1287"/>
      <c r="B32" s="1287"/>
      <c r="C32" s="1287"/>
      <c r="D32" s="1287"/>
      <c r="E32" s="1287"/>
      <c r="F32" s="1287"/>
      <c r="G32" s="1287"/>
      <c r="H32" s="1287"/>
      <c r="I32" s="1287"/>
      <c r="J32" s="1287"/>
      <c r="K32" s="1287"/>
      <c r="L32" s="1288"/>
      <c r="M32" s="1287"/>
      <c r="N32" s="1287"/>
      <c r="O32" s="1287"/>
      <c r="S32" s="2475" t="s">
        <v>42</v>
      </c>
      <c r="T32" s="2475"/>
      <c r="U32" s="1291"/>
      <c r="V32" s="2476" t="str">
        <f>IF(TITLE_IST_PUB_CHANGE="",IF(TITLE_IST_PUB="","",TITLE_IST_PUB),TITLE_IST_PUB_CHANGE)</f>
        <v/>
      </c>
      <c r="W32" s="2476"/>
      <c r="X32" s="2476"/>
      <c r="Y32" s="2476"/>
      <c r="Z32" s="2476"/>
      <c r="AA32" s="2476"/>
      <c r="AB32" s="2476"/>
      <c r="AC32" s="263"/>
      <c r="AD32" s="2476" t="str">
        <f>IF(TITLE_IST_PUB_CHANGE="",IF(TITLE_IST_PUB="","",TITLE_IST_PUB),TITLE_IST_PUB_CHANGE)</f>
        <v/>
      </c>
      <c r="AE32" s="2476"/>
      <c r="AF32" s="2476"/>
      <c r="AG32" s="2476"/>
      <c r="AH32" s="2476"/>
      <c r="AI32" s="2476"/>
      <c r="AJ32" s="2476"/>
      <c r="AK32" s="263"/>
      <c r="AL32" s="263"/>
      <c r="AM32" s="217"/>
      <c r="AN32" s="305"/>
      <c r="AO32" s="305"/>
      <c r="AP32" s="305"/>
      <c r="AQ32" s="305"/>
      <c r="AR32" s="305"/>
      <c r="AS32" s="355">
        <v>0</v>
      </c>
    </row>
    <row r="33" spans="1:45" ht="14.25" hidden="1" customHeight="1">
      <c r="Q33" s="313"/>
      <c r="R33" s="313"/>
      <c r="S33" s="1194"/>
      <c r="T33" s="300"/>
      <c r="U33" s="300"/>
      <c r="V33" s="259"/>
      <c r="W33" s="259"/>
      <c r="X33" s="259"/>
      <c r="Y33" s="259"/>
      <c r="Z33" s="259"/>
      <c r="AA33" s="259"/>
      <c r="AB33" s="259"/>
      <c r="AC33" s="259"/>
      <c r="AD33" s="259"/>
      <c r="AE33" s="259"/>
      <c r="AF33" s="259"/>
      <c r="AG33" s="259"/>
      <c r="AH33" s="259"/>
      <c r="AI33" s="259"/>
      <c r="AJ33" s="259"/>
      <c r="AK33" s="259"/>
      <c r="AL33" s="446"/>
      <c r="AS33" s="1074">
        <v>0</v>
      </c>
    </row>
    <row r="34" spans="1:45" s="2254" customFormat="1" ht="18.75" hidden="1" customHeight="1">
      <c r="A34" s="1287"/>
      <c r="B34" s="1287"/>
      <c r="C34" s="1287"/>
      <c r="D34" s="1287"/>
      <c r="E34" s="1287"/>
      <c r="F34" s="1287"/>
      <c r="G34" s="1287"/>
      <c r="H34" s="1287"/>
      <c r="I34" s="1287"/>
      <c r="J34" s="1287"/>
      <c r="K34" s="1287"/>
      <c r="L34" s="1288"/>
      <c r="M34" s="1287"/>
      <c r="N34" s="1287"/>
      <c r="O34" s="1287"/>
      <c r="S34" s="2475" t="s">
        <v>423</v>
      </c>
      <c r="T34" s="2475"/>
      <c r="U34" s="1291"/>
      <c r="V34" s="2485" t="str">
        <f>IF(TITLE_DATE_PR_CHANGE="",IF(TITLE_DATE_PR="","",TITLE_DATE_PR),TITLE_DATE_PR_CHANGE)</f>
        <v/>
      </c>
      <c r="W34" s="2485"/>
      <c r="X34" s="2485"/>
      <c r="Y34" s="2485"/>
      <c r="Z34" s="2485"/>
      <c r="AA34" s="2485"/>
      <c r="AB34" s="2485"/>
      <c r="AC34" s="263"/>
      <c r="AD34" s="2485" t="str">
        <f>IF(TITLE_DATE_PR_CHANGE="",IF(TITLE_DATE_PR="","",TITLE_DATE_PR),TITLE_DATE_PR_CHANGE)</f>
        <v/>
      </c>
      <c r="AE34" s="2485"/>
      <c r="AF34" s="2485"/>
      <c r="AG34" s="2485"/>
      <c r="AH34" s="2485"/>
      <c r="AI34" s="2485"/>
      <c r="AJ34" s="2485"/>
      <c r="AK34" s="263"/>
      <c r="AL34" s="263"/>
      <c r="AM34" s="217"/>
      <c r="AN34" s="305"/>
      <c r="AO34" s="305"/>
      <c r="AP34" s="305"/>
      <c r="AQ34" s="305"/>
      <c r="AR34" s="305"/>
      <c r="AS34" s="355">
        <v>0</v>
      </c>
    </row>
    <row r="35" spans="1:45" s="2254" customFormat="1" ht="18.75" hidden="1" customHeight="1">
      <c r="A35" s="1287"/>
      <c r="B35" s="1287"/>
      <c r="C35" s="1287"/>
      <c r="D35" s="1287"/>
      <c r="E35" s="1287"/>
      <c r="F35" s="1287"/>
      <c r="G35" s="1287"/>
      <c r="H35" s="1287"/>
      <c r="I35" s="1287"/>
      <c r="J35" s="1287"/>
      <c r="K35" s="1287"/>
      <c r="L35" s="1288"/>
      <c r="M35" s="1287"/>
      <c r="N35" s="1287"/>
      <c r="O35" s="1287"/>
      <c r="S35" s="2475" t="s">
        <v>424</v>
      </c>
      <c r="T35" s="2475"/>
      <c r="U35" s="1291"/>
      <c r="V35" s="2476" t="str">
        <f>IF(TITLE_NUMBER_PR_CHANGE="",IF(TITLE_NUMBER_PR="","",TITLE_NUMBER_PR),TITLE_NUMBER_PR_CHANGE)</f>
        <v/>
      </c>
      <c r="W35" s="2476"/>
      <c r="X35" s="2476"/>
      <c r="Y35" s="2476"/>
      <c r="Z35" s="2476"/>
      <c r="AA35" s="2476"/>
      <c r="AB35" s="2476"/>
      <c r="AC35" s="263"/>
      <c r="AD35" s="2476" t="str">
        <f>IF(TITLE_NUMBER_PR_CHANGE="",IF(TITLE_NUMBER_PR="","",TITLE_NUMBER_PR),TITLE_NUMBER_PR_CHANGE)</f>
        <v/>
      </c>
      <c r="AE35" s="2476"/>
      <c r="AF35" s="2476"/>
      <c r="AG35" s="2476"/>
      <c r="AH35" s="2476"/>
      <c r="AI35" s="2476"/>
      <c r="AJ35" s="2476"/>
      <c r="AK35" s="263"/>
      <c r="AL35" s="263"/>
      <c r="AM35" s="217"/>
      <c r="AN35" s="305"/>
      <c r="AO35" s="305"/>
      <c r="AP35" s="305"/>
      <c r="AQ35" s="305"/>
      <c r="AR35" s="305"/>
      <c r="AS35" s="355">
        <v>0</v>
      </c>
    </row>
    <row r="36" spans="1:45" s="2254"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194"/>
      <c r="T37" s="300"/>
      <c r="U37" s="1163"/>
      <c r="V37" s="2477"/>
      <c r="W37" s="2477"/>
      <c r="X37" s="2477"/>
      <c r="Y37" s="2477"/>
      <c r="Z37" s="2477"/>
      <c r="AA37" s="2477"/>
      <c r="AB37" s="2477"/>
      <c r="AC37" s="2477"/>
      <c r="AD37" s="2477"/>
      <c r="AE37" s="2477"/>
      <c r="AF37" s="2477"/>
      <c r="AG37" s="2477"/>
      <c r="AH37" s="2477"/>
      <c r="AI37" s="2477"/>
      <c r="AJ37" s="2477"/>
      <c r="AK37" s="2477"/>
      <c r="AS37" s="1074">
        <v>14</v>
      </c>
    </row>
    <row r="38" spans="1:45" ht="14.65" customHeight="1">
      <c r="Q38" s="313"/>
      <c r="R38" s="313"/>
      <c r="S38" s="2363" t="s">
        <v>298</v>
      </c>
      <c r="T38" s="2363"/>
      <c r="U38" s="2363"/>
      <c r="V38" s="2363"/>
      <c r="W38" s="2363"/>
      <c r="X38" s="2363"/>
      <c r="Y38" s="2363"/>
      <c r="Z38" s="2363"/>
      <c r="AA38" s="2363"/>
      <c r="AB38" s="2363"/>
      <c r="AC38" s="2363"/>
      <c r="AD38" s="2363"/>
      <c r="AE38" s="2363"/>
      <c r="AF38" s="2363"/>
      <c r="AG38" s="2363"/>
      <c r="AH38" s="2363"/>
      <c r="AI38" s="2363"/>
      <c r="AJ38" s="2363"/>
      <c r="AK38" s="2363"/>
      <c r="AL38" s="2363"/>
      <c r="AM38" s="2363" t="s">
        <v>299</v>
      </c>
      <c r="AS38" s="1074">
        <v>14</v>
      </c>
    </row>
    <row r="39" spans="1:45" ht="14.65" customHeight="1">
      <c r="Q39" s="313"/>
      <c r="R39" s="313"/>
      <c r="S39" s="2491" t="s">
        <v>87</v>
      </c>
      <c r="T39" s="2442" t="s">
        <v>426</v>
      </c>
      <c r="U39" s="238"/>
      <c r="V39" s="2492" t="s">
        <v>427</v>
      </c>
      <c r="W39" s="2493"/>
      <c r="X39" s="2509"/>
      <c r="Y39" s="2509"/>
      <c r="Z39" s="2493"/>
      <c r="AA39" s="2493"/>
      <c r="AB39" s="2494"/>
      <c r="AC39" s="2495" t="s">
        <v>428</v>
      </c>
      <c r="AD39" s="2492" t="s">
        <v>427</v>
      </c>
      <c r="AE39" s="2493"/>
      <c r="AF39" s="2509"/>
      <c r="AG39" s="2509"/>
      <c r="AH39" s="2493"/>
      <c r="AI39" s="2493"/>
      <c r="AJ39" s="2494"/>
      <c r="AK39" s="2495" t="s">
        <v>429</v>
      </c>
      <c r="AL39" s="2498" t="s">
        <v>430</v>
      </c>
      <c r="AM39" s="2363"/>
      <c r="AS39" s="1074">
        <v>14</v>
      </c>
    </row>
    <row r="40" spans="1:45" ht="24" customHeight="1">
      <c r="Q40" s="313"/>
      <c r="R40" s="313"/>
      <c r="S40" s="2491"/>
      <c r="T40" s="2442"/>
      <c r="U40" s="955"/>
      <c r="V40" s="2510" t="s">
        <v>431</v>
      </c>
      <c r="W40" s="2428" t="s">
        <v>432</v>
      </c>
      <c r="X40" s="1295" t="s">
        <v>433</v>
      </c>
      <c r="Y40" s="1295"/>
      <c r="Z40" s="2340" t="s">
        <v>434</v>
      </c>
      <c r="AA40" s="2340"/>
      <c r="AB40" s="2334"/>
      <c r="AC40" s="2496"/>
      <c r="AD40" s="2510" t="s">
        <v>431</v>
      </c>
      <c r="AE40" s="2428" t="s">
        <v>432</v>
      </c>
      <c r="AF40" s="1295" t="s">
        <v>433</v>
      </c>
      <c r="AG40" s="1295"/>
      <c r="AH40" s="2340" t="s">
        <v>434</v>
      </c>
      <c r="AI40" s="2340"/>
      <c r="AJ40" s="2334"/>
      <c r="AK40" s="2496"/>
      <c r="AL40" s="2499"/>
      <c r="AM40" s="2363"/>
      <c r="AS40" s="1074">
        <v>23</v>
      </c>
    </row>
    <row r="41" spans="1:45" s="2256" customFormat="1" ht="24" customHeight="1">
      <c r="A41" s="1289"/>
      <c r="B41" s="1289" t="s">
        <v>135</v>
      </c>
      <c r="C41" s="1289" t="s">
        <v>136</v>
      </c>
      <c r="D41" s="1289" t="s">
        <v>137</v>
      </c>
      <c r="E41" s="1283" t="s">
        <v>435</v>
      </c>
      <c r="F41" s="1283" t="s">
        <v>436</v>
      </c>
      <c r="G41" s="1283" t="s">
        <v>437</v>
      </c>
      <c r="H41" s="1283" t="s">
        <v>438</v>
      </c>
      <c r="I41" s="1283" t="s">
        <v>439</v>
      </c>
      <c r="J41" s="1283" t="s">
        <v>440</v>
      </c>
      <c r="K41" s="1283" t="s">
        <v>441</v>
      </c>
      <c r="L41" s="1283" t="s">
        <v>416</v>
      </c>
      <c r="M41" s="1281"/>
      <c r="N41" s="1281"/>
      <c r="O41" s="1281"/>
      <c r="P41" s="1247"/>
      <c r="Q41" s="313"/>
      <c r="R41" s="313"/>
      <c r="S41" s="2491"/>
      <c r="T41" s="2442"/>
      <c r="U41" s="239"/>
      <c r="V41" s="2511"/>
      <c r="W41" s="2433"/>
      <c r="X41" s="1292" t="s">
        <v>442</v>
      </c>
      <c r="Y41" s="1292" t="s">
        <v>443</v>
      </c>
      <c r="Z41" s="1253" t="s">
        <v>444</v>
      </c>
      <c r="AA41" s="2451" t="s">
        <v>445</v>
      </c>
      <c r="AB41" s="2453"/>
      <c r="AC41" s="2497"/>
      <c r="AD41" s="2511"/>
      <c r="AE41" s="2433"/>
      <c r="AF41" s="1292" t="s">
        <v>442</v>
      </c>
      <c r="AG41" s="1292" t="s">
        <v>443</v>
      </c>
      <c r="AH41" s="1253" t="s">
        <v>444</v>
      </c>
      <c r="AI41" s="2451" t="s">
        <v>445</v>
      </c>
      <c r="AJ41" s="2453"/>
      <c r="AK41" s="2497"/>
      <c r="AL41" s="2500"/>
      <c r="AM41" s="2363"/>
      <c r="AN41" s="448"/>
      <c r="AO41" s="437"/>
      <c r="AP41" s="437"/>
      <c r="AQ41" s="437"/>
      <c r="AR41" s="437"/>
      <c r="AS41" s="519">
        <v>23</v>
      </c>
    </row>
    <row r="42" spans="1:45" s="2269"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108</v>
      </c>
      <c r="T42" s="1174" t="s">
        <v>109</v>
      </c>
      <c r="U42" s="1164" t="str">
        <f ca="1">OFFSET(U42,0,-1)</f>
        <v>2</v>
      </c>
      <c r="V42" s="1254">
        <f ca="1">OFFSET(V42,0,-1)+1</f>
        <v>3</v>
      </c>
      <c r="W42" s="1254"/>
      <c r="X42" s="1260">
        <f ca="1">OFFSET(X42,0,-1)+1</f>
        <v>1</v>
      </c>
      <c r="Y42" s="1260">
        <f ca="1">OFFSET(Y42,0,-1)+1</f>
        <v>2</v>
      </c>
      <c r="Z42" s="1254">
        <f ca="1">OFFSET(Z42,0,-1)+1</f>
        <v>3</v>
      </c>
      <c r="AA42" s="2490">
        <f ca="1">OFFSET(AA42,0,-1)+1</f>
        <v>4</v>
      </c>
      <c r="AB42" s="2490"/>
      <c r="AC42" s="1254">
        <f ca="1">OFFSET(AC42,0,-2)+1</f>
        <v>5</v>
      </c>
      <c r="AD42" s="1254">
        <f ca="1">OFFSET(AD42,0,-1)+1</f>
        <v>6</v>
      </c>
      <c r="AE42" s="1254"/>
      <c r="AF42" s="1260">
        <f ca="1">OFFSET(AF42,0,-1)+1</f>
        <v>1</v>
      </c>
      <c r="AG42" s="1260">
        <f ca="1">OFFSET(AG42,0,-1)+1</f>
        <v>2</v>
      </c>
      <c r="AH42" s="1254">
        <f ca="1">OFFSET(AH42,0,-1)+1</f>
        <v>3</v>
      </c>
      <c r="AI42" s="2490">
        <f ca="1">OFFSET(AI42,0,-1)+1</f>
        <v>4</v>
      </c>
      <c r="AJ42" s="2490"/>
      <c r="AK42" s="1254">
        <f ca="1">OFFSET(AK42,0,-2)+1</f>
        <v>5</v>
      </c>
      <c r="AL42" s="1164">
        <f ca="1">OFFSET(AL42,0,-1)</f>
        <v>5</v>
      </c>
      <c r="AM42" s="1254">
        <f ca="1">OFFSET(AM42,0,-1)+1</f>
        <v>6</v>
      </c>
      <c r="AN42" s="448"/>
      <c r="AO42" s="448"/>
      <c r="AP42" s="448"/>
      <c r="AQ42" s="448"/>
      <c r="AR42" s="448"/>
      <c r="AS42" s="433">
        <v>0</v>
      </c>
    </row>
    <row r="43" spans="1:45" ht="21.95" customHeight="1">
      <c r="A43" s="1282" t="s">
        <v>192</v>
      </c>
      <c r="B43" s="1282"/>
      <c r="C43" s="1282"/>
      <c r="D43" s="1282"/>
      <c r="E43" s="2483">
        <v>1</v>
      </c>
      <c r="F43" s="1282"/>
      <c r="G43" s="1282"/>
      <c r="H43" s="1282"/>
      <c r="I43" s="1282"/>
      <c r="J43" s="1282"/>
      <c r="K43" s="1282"/>
      <c r="L43" s="1283"/>
      <c r="M43" s="1284"/>
      <c r="N43" s="1284"/>
      <c r="O43" s="1284"/>
      <c r="P43" s="298"/>
      <c r="Q43" s="297"/>
      <c r="R43" s="292"/>
      <c r="S43" s="1255">
        <f>INDEX(PT_DIFFERENTIATION_NUM_NTAR,MATCH(A43,PT_DIFFERENTIATION_NTAR_ID,0))</f>
        <v>0</v>
      </c>
      <c r="T43" s="235" t="s">
        <v>123</v>
      </c>
      <c r="U43" s="237"/>
      <c r="V43" s="2469"/>
      <c r="W43" s="2470"/>
      <c r="X43" s="2470"/>
      <c r="Y43" s="2470"/>
      <c r="Z43" s="2470"/>
      <c r="AA43" s="2470"/>
      <c r="AB43" s="2470"/>
      <c r="AC43" s="2471"/>
      <c r="AD43" s="2469" t="str">
        <f>INDEX(PT_DIFFERENTIATION_NTAR,MATCH(A43,PT_DIFFERENTIATION_NTAR_ID,0))</f>
        <v/>
      </c>
      <c r="AE43" s="2470"/>
      <c r="AF43" s="2470"/>
      <c r="AG43" s="2470"/>
      <c r="AH43" s="2470"/>
      <c r="AI43" s="2470"/>
      <c r="AJ43" s="2470"/>
      <c r="AK43" s="2470"/>
      <c r="AL43" s="2471"/>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4">
        <v>21</v>
      </c>
    </row>
    <row r="44" spans="1:45" ht="21.95" customHeight="1">
      <c r="A44" s="1282" t="s">
        <v>192</v>
      </c>
      <c r="B44" s="1282" t="s">
        <v>193</v>
      </c>
      <c r="C44" s="1282"/>
      <c r="D44" s="1282"/>
      <c r="E44" s="2484"/>
      <c r="F44" s="2483">
        <v>1</v>
      </c>
      <c r="G44" s="1282"/>
      <c r="H44" s="1282"/>
      <c r="I44" s="1282"/>
      <c r="J44" s="1282"/>
      <c r="K44" s="1282"/>
      <c r="L44" s="1283"/>
      <c r="M44" s="1284"/>
      <c r="N44" s="1284"/>
      <c r="O44" s="1284"/>
      <c r="P44" s="1251"/>
      <c r="Q44" s="289"/>
      <c r="R44" s="290"/>
      <c r="S44" s="1255" t="str">
        <f>INDEX(PT_DIFFERENTIATION_NUM_TER,MATCH(B44,PT_DIFFERENTIATION_TER_ID,0))</f>
        <v>.</v>
      </c>
      <c r="T44" s="245" t="s">
        <v>395</v>
      </c>
      <c r="U44" s="237"/>
      <c r="V44" s="2469"/>
      <c r="W44" s="2470"/>
      <c r="X44" s="2470"/>
      <c r="Y44" s="2470"/>
      <c r="Z44" s="2470"/>
      <c r="AA44" s="2470"/>
      <c r="AB44" s="2470"/>
      <c r="AC44" s="2471"/>
      <c r="AD44" s="2469" t="str">
        <f>INDEX(PT_DIFFERENTIATION_TER,MATCH(B44,PT_DIFFERENTIATION_TER_ID,0))</f>
        <v/>
      </c>
      <c r="AE44" s="2470"/>
      <c r="AF44" s="2470"/>
      <c r="AG44" s="2470"/>
      <c r="AH44" s="2470"/>
      <c r="AI44" s="2470"/>
      <c r="AJ44" s="2470"/>
      <c r="AK44" s="2470"/>
      <c r="AL44" s="2471"/>
      <c r="AM44" s="1177" t="s">
        <v>396</v>
      </c>
      <c r="AO44" s="437"/>
      <c r="AP44" s="437" t="str">
        <f t="shared" si="1"/>
        <v>Территория действия тарифа</v>
      </c>
      <c r="AQ44" s="437"/>
      <c r="AR44" s="437"/>
      <c r="AS44" s="1074">
        <v>21</v>
      </c>
    </row>
    <row r="45" spans="1:45" ht="24" customHeight="1">
      <c r="A45" s="1282" t="s">
        <v>192</v>
      </c>
      <c r="B45" s="1282" t="s">
        <v>193</v>
      </c>
      <c r="C45" s="1282" t="s">
        <v>194</v>
      </c>
      <c r="D45" s="1282"/>
      <c r="E45" s="2484"/>
      <c r="F45" s="2484"/>
      <c r="G45" s="2483">
        <v>1</v>
      </c>
      <c r="H45" s="1282"/>
      <c r="I45" s="1282"/>
      <c r="J45" s="1282"/>
      <c r="K45" s="1282"/>
      <c r="L45" s="1283"/>
      <c r="M45" s="1284"/>
      <c r="N45" s="1284"/>
      <c r="O45" s="1284"/>
      <c r="P45" s="291"/>
      <c r="Q45" s="289"/>
      <c r="R45" s="290"/>
      <c r="S45" s="1255" t="str">
        <f>INDEX(PT_DIFFERENTIATION_NUM_CS,MATCH(C45,PT_DIFFERENTIATION_CS_ID,0))</f>
        <v>..</v>
      </c>
      <c r="T45" s="246" t="s">
        <v>397</v>
      </c>
      <c r="U45" s="237"/>
      <c r="V45" s="2469"/>
      <c r="W45" s="2470"/>
      <c r="X45" s="2470"/>
      <c r="Y45" s="2470"/>
      <c r="Z45" s="2470"/>
      <c r="AA45" s="2470"/>
      <c r="AB45" s="2470"/>
      <c r="AC45" s="2471"/>
      <c r="AD45" s="2469" t="str">
        <f>INDEX(PT_DIFFERENTIATION_CS,MATCH(C45,PT_DIFFERENTIATION_CS_ID,0))</f>
        <v/>
      </c>
      <c r="AE45" s="2470"/>
      <c r="AF45" s="2470"/>
      <c r="AG45" s="2470"/>
      <c r="AH45" s="2470"/>
      <c r="AI45" s="2470"/>
      <c r="AJ45" s="2470"/>
      <c r="AK45" s="2470"/>
      <c r="AL45" s="2471"/>
      <c r="AM45" s="1177" t="s">
        <v>398</v>
      </c>
      <c r="AO45" s="437"/>
      <c r="AP45" s="437" t="str">
        <f t="shared" si="1"/>
        <v xml:space="preserve">Наименование системы теплоснабжения </v>
      </c>
      <c r="AQ45" s="437"/>
      <c r="AR45" s="437"/>
      <c r="AS45" s="1074">
        <v>23</v>
      </c>
    </row>
    <row r="46" spans="1:45" ht="21.95" customHeight="1">
      <c r="A46" s="1282" t="s">
        <v>192</v>
      </c>
      <c r="B46" s="1282" t="s">
        <v>193</v>
      </c>
      <c r="C46" s="1282" t="s">
        <v>194</v>
      </c>
      <c r="D46" s="1282" t="s">
        <v>195</v>
      </c>
      <c r="E46" s="2484"/>
      <c r="F46" s="2484"/>
      <c r="G46" s="2484"/>
      <c r="H46" s="2483">
        <v>1</v>
      </c>
      <c r="I46" s="1282"/>
      <c r="J46" s="1282"/>
      <c r="K46" s="1282"/>
      <c r="L46" s="1283"/>
      <c r="M46" s="1284"/>
      <c r="N46" s="1284"/>
      <c r="O46" s="1284"/>
      <c r="P46" s="291"/>
      <c r="Q46" s="289"/>
      <c r="R46" s="290"/>
      <c r="S46" s="1255" t="str">
        <f>INDEX(PT_DIFFERENTIATION_NUM_IST_TE,MATCH(D46,PT_DIFFERENTIATION_IST_TE_ID,0))</f>
        <v>...</v>
      </c>
      <c r="T46" s="247" t="s">
        <v>399</v>
      </c>
      <c r="U46" s="237"/>
      <c r="V46" s="2469"/>
      <c r="W46" s="2470"/>
      <c r="X46" s="2470"/>
      <c r="Y46" s="2470"/>
      <c r="Z46" s="2470"/>
      <c r="AA46" s="2470"/>
      <c r="AB46" s="2470"/>
      <c r="AC46" s="2471"/>
      <c r="AD46" s="2469" t="str">
        <f>INDEX(PT_DIFFERENTIATION_IST_TE,MATCH(D46,PT_DIFFERENTIATION_IST_TE_ID,0))</f>
        <v/>
      </c>
      <c r="AE46" s="2470"/>
      <c r="AF46" s="2470"/>
      <c r="AG46" s="2470"/>
      <c r="AH46" s="2470"/>
      <c r="AI46" s="2470"/>
      <c r="AJ46" s="2470"/>
      <c r="AK46" s="2470"/>
      <c r="AL46" s="2471"/>
      <c r="AM46" s="1177" t="s">
        <v>400</v>
      </c>
      <c r="AO46" s="437"/>
      <c r="AP46" s="437" t="str">
        <f t="shared" si="1"/>
        <v xml:space="preserve">Источник тепловой энергии  </v>
      </c>
      <c r="AQ46" s="437"/>
      <c r="AR46" s="437"/>
      <c r="AS46" s="1074">
        <v>21</v>
      </c>
    </row>
    <row r="47" spans="1:45" ht="49.5" customHeight="1">
      <c r="A47" s="1282" t="s">
        <v>192</v>
      </c>
      <c r="B47" s="1282" t="s">
        <v>193</v>
      </c>
      <c r="C47" s="1282" t="s">
        <v>194</v>
      </c>
      <c r="D47" s="1282" t="s">
        <v>195</v>
      </c>
      <c r="E47" s="2484"/>
      <c r="F47" s="2484"/>
      <c r="G47" s="2484"/>
      <c r="H47" s="2484"/>
      <c r="I47" s="2481" t="str">
        <f>S46&amp;".1"</f>
        <v>....1</v>
      </c>
      <c r="J47" s="1282"/>
      <c r="K47" s="1282"/>
      <c r="L47" s="1283" t="s">
        <v>401</v>
      </c>
      <c r="P47" s="2482">
        <v>1</v>
      </c>
      <c r="Q47" s="1250"/>
      <c r="R47" s="293"/>
      <c r="S47" s="1255" t="str">
        <f>$I47</f>
        <v>....1</v>
      </c>
      <c r="T47" s="222" t="s">
        <v>402</v>
      </c>
      <c r="U47" s="237"/>
      <c r="V47" s="2472"/>
      <c r="W47" s="2473"/>
      <c r="X47" s="2473"/>
      <c r="Y47" s="2473"/>
      <c r="Z47" s="2473"/>
      <c r="AA47" s="2473"/>
      <c r="AB47" s="2473"/>
      <c r="AC47" s="2474"/>
      <c r="AD47" s="2472"/>
      <c r="AE47" s="2473"/>
      <c r="AF47" s="2473"/>
      <c r="AG47" s="2473"/>
      <c r="AH47" s="2473"/>
      <c r="AI47" s="2473"/>
      <c r="AJ47" s="2473"/>
      <c r="AK47" s="2473"/>
      <c r="AL47" s="2474"/>
      <c r="AM47" s="1177" t="s">
        <v>403</v>
      </c>
      <c r="AO47" s="437"/>
      <c r="AP47" s="437" t="str">
        <f t="shared" si="1"/>
        <v>Схема подключения теплопотребляющей установки к коллектору источника тепловой энергии</v>
      </c>
      <c r="AQ47" s="437"/>
      <c r="AR47" s="437"/>
      <c r="AS47" s="1074">
        <v>47</v>
      </c>
    </row>
    <row r="48" spans="1:45" ht="21.95" customHeight="1">
      <c r="A48" s="1282" t="s">
        <v>192</v>
      </c>
      <c r="B48" s="1282" t="s">
        <v>193</v>
      </c>
      <c r="C48" s="1282" t="s">
        <v>194</v>
      </c>
      <c r="D48" s="1282" t="s">
        <v>195</v>
      </c>
      <c r="E48" s="2484"/>
      <c r="F48" s="2484"/>
      <c r="G48" s="2484"/>
      <c r="H48" s="2484"/>
      <c r="I48" s="2504"/>
      <c r="J48" s="2481" t="str">
        <f>I47&amp;".1"</f>
        <v>....1.1</v>
      </c>
      <c r="K48" s="1282"/>
      <c r="L48" s="1283" t="s">
        <v>404</v>
      </c>
      <c r="P48" s="2482"/>
      <c r="Q48" s="2482">
        <v>1</v>
      </c>
      <c r="R48" s="294"/>
      <c r="S48" s="1255" t="str">
        <f>$J48</f>
        <v>....1.1</v>
      </c>
      <c r="T48" s="223" t="s">
        <v>405</v>
      </c>
      <c r="U48" s="237"/>
      <c r="V48" s="2472"/>
      <c r="W48" s="2473"/>
      <c r="X48" s="2473"/>
      <c r="Y48" s="2473"/>
      <c r="Z48" s="2473"/>
      <c r="AA48" s="2473"/>
      <c r="AB48" s="2473"/>
      <c r="AC48" s="2474"/>
      <c r="AD48" s="2472"/>
      <c r="AE48" s="2473"/>
      <c r="AF48" s="2473"/>
      <c r="AG48" s="2473"/>
      <c r="AH48" s="2473"/>
      <c r="AI48" s="2473"/>
      <c r="AJ48" s="2473"/>
      <c r="AK48" s="2473"/>
      <c r="AL48" s="2474"/>
      <c r="AM48" s="1177" t="s">
        <v>406</v>
      </c>
      <c r="AO48" s="437"/>
      <c r="AP48" s="437" t="str">
        <f t="shared" si="1"/>
        <v>Группа потребителей</v>
      </c>
      <c r="AQ48" s="437"/>
      <c r="AR48" s="437"/>
      <c r="AS48" s="1074">
        <v>21</v>
      </c>
    </row>
    <row r="49" spans="1:45" ht="21.95" customHeight="1">
      <c r="A49" s="1282" t="s">
        <v>192</v>
      </c>
      <c r="B49" s="1282" t="s">
        <v>193</v>
      </c>
      <c r="C49" s="1282" t="s">
        <v>194</v>
      </c>
      <c r="D49" s="1282" t="s">
        <v>195</v>
      </c>
      <c r="E49" s="2484"/>
      <c r="F49" s="2484"/>
      <c r="G49" s="2484"/>
      <c r="H49" s="2484"/>
      <c r="I49" s="2504"/>
      <c r="J49" s="2504"/>
      <c r="K49" s="2481" t="str">
        <f>J48&amp;".1"</f>
        <v>....1.1.1</v>
      </c>
      <c r="L49" s="1283" t="s">
        <v>407</v>
      </c>
      <c r="P49" s="2482"/>
      <c r="Q49" s="2482"/>
      <c r="R49" s="294">
        <v>1</v>
      </c>
      <c r="S49" s="1255" t="str">
        <f>$K49</f>
        <v>....1.1.1</v>
      </c>
      <c r="T49" s="1266"/>
      <c r="U49" s="237"/>
      <c r="V49" s="262"/>
      <c r="W49" s="688"/>
      <c r="X49" s="262"/>
      <c r="Y49" s="321"/>
      <c r="Z49" s="2486"/>
      <c r="AA49" s="2344" t="s">
        <v>64</v>
      </c>
      <c r="AB49" s="2486"/>
      <c r="AC49" s="2344" t="s">
        <v>64</v>
      </c>
      <c r="AD49" s="262"/>
      <c r="AE49" s="688"/>
      <c r="AF49" s="262"/>
      <c r="AG49" s="321"/>
      <c r="AH49" s="2486"/>
      <c r="AI49" s="2344" t="s">
        <v>64</v>
      </c>
      <c r="AJ49" s="2505"/>
      <c r="AK49" s="2344" t="s">
        <v>64</v>
      </c>
      <c r="AL49" s="1267"/>
      <c r="AM49" s="2478" t="s">
        <v>408</v>
      </c>
      <c r="AN49" s="448" t="e">
        <f ca="1">STRCHECKDATE(V50:AL50)</f>
        <v>#NAME?</v>
      </c>
      <c r="AO49" s="437"/>
      <c r="AP49" s="437" t="str">
        <f t="shared" si="1"/>
        <v/>
      </c>
      <c r="AQ49" s="437"/>
      <c r="AR49" s="437"/>
      <c r="AS49" s="1074">
        <v>21</v>
      </c>
    </row>
    <row r="50" spans="1:45" ht="1.1499999999999999" customHeight="1">
      <c r="A50" s="1282" t="s">
        <v>192</v>
      </c>
      <c r="B50" s="1282" t="s">
        <v>193</v>
      </c>
      <c r="C50" s="1282" t="s">
        <v>194</v>
      </c>
      <c r="D50" s="1282" t="s">
        <v>195</v>
      </c>
      <c r="E50" s="2484"/>
      <c r="F50" s="2484"/>
      <c r="G50" s="2484"/>
      <c r="H50" s="2484"/>
      <c r="I50" s="2504"/>
      <c r="J50" s="2504"/>
      <c r="K50" s="2481"/>
      <c r="L50" s="1283"/>
      <c r="P50" s="2482"/>
      <c r="Q50" s="2482"/>
      <c r="R50" s="294"/>
      <c r="S50" s="1261"/>
      <c r="T50" s="237"/>
      <c r="U50" s="237"/>
      <c r="V50" s="262"/>
      <c r="W50" s="262"/>
      <c r="X50" s="262"/>
      <c r="Y50" s="265" t="str">
        <f>Z49&amp;"-"&amp;AB49</f>
        <v>-</v>
      </c>
      <c r="Z50" s="2487"/>
      <c r="AA50" s="2344"/>
      <c r="AB50" s="2487"/>
      <c r="AC50" s="2344"/>
      <c r="AD50" s="262"/>
      <c r="AE50" s="262"/>
      <c r="AF50" s="262"/>
      <c r="AG50" s="265" t="str">
        <f>AH49&amp;"-"&amp;AJ49</f>
        <v>-</v>
      </c>
      <c r="AH50" s="2487"/>
      <c r="AI50" s="2344"/>
      <c r="AJ50" s="2506"/>
      <c r="AK50" s="2344"/>
      <c r="AL50" s="1268"/>
      <c r="AM50" s="2479"/>
      <c r="AO50" s="437"/>
      <c r="AP50" s="437" t="str">
        <f t="shared" si="1"/>
        <v/>
      </c>
      <c r="AQ50" s="437"/>
      <c r="AR50" s="437"/>
      <c r="AS50" s="1074">
        <v>1</v>
      </c>
    </row>
    <row r="51" spans="1:45" ht="11.45" customHeight="1">
      <c r="A51" s="1282" t="s">
        <v>192</v>
      </c>
      <c r="B51" s="1282" t="s">
        <v>193</v>
      </c>
      <c r="C51" s="1282" t="s">
        <v>194</v>
      </c>
      <c r="D51" s="1282" t="s">
        <v>195</v>
      </c>
      <c r="E51" s="2484"/>
      <c r="F51" s="2484"/>
      <c r="G51" s="2484"/>
      <c r="H51" s="2484"/>
      <c r="I51" s="2504"/>
      <c r="J51" s="2481"/>
      <c r="K51" s="1282"/>
      <c r="L51" s="1283"/>
      <c r="P51" s="2482"/>
      <c r="Q51" s="2482"/>
      <c r="R51" s="293"/>
      <c r="S51" s="1197"/>
      <c r="T51" s="225" t="s">
        <v>409</v>
      </c>
      <c r="U51" s="304"/>
      <c r="V51" s="304"/>
      <c r="W51" s="304"/>
      <c r="X51" s="304"/>
      <c r="Y51" s="304"/>
      <c r="Z51" s="304"/>
      <c r="AA51" s="304"/>
      <c r="AB51" s="304"/>
      <c r="AC51" s="304"/>
      <c r="AD51" s="304"/>
      <c r="AE51" s="304"/>
      <c r="AF51" s="304"/>
      <c r="AG51" s="304"/>
      <c r="AH51" s="304"/>
      <c r="AI51" s="304"/>
      <c r="AJ51" s="304"/>
      <c r="AK51" s="304"/>
      <c r="AL51" s="261"/>
      <c r="AM51" s="2480"/>
      <c r="AO51" s="437"/>
      <c r="AP51" s="437" t="str">
        <f t="shared" si="1"/>
        <v>Добавить вид теплоносителя (параметры теплоносителя)</v>
      </c>
      <c r="AQ51" s="437"/>
      <c r="AR51" s="437"/>
      <c r="AS51" s="1074">
        <v>11</v>
      </c>
    </row>
    <row r="52" spans="1:45" ht="11.45" customHeight="1">
      <c r="A52" s="1282" t="s">
        <v>192</v>
      </c>
      <c r="B52" s="1282" t="s">
        <v>193</v>
      </c>
      <c r="C52" s="1282" t="s">
        <v>194</v>
      </c>
      <c r="D52" s="1282" t="s">
        <v>195</v>
      </c>
      <c r="E52" s="2484"/>
      <c r="F52" s="2484"/>
      <c r="G52" s="2484"/>
      <c r="H52" s="2484"/>
      <c r="I52" s="2481"/>
      <c r="J52" s="1282"/>
      <c r="K52" s="1282"/>
      <c r="L52" s="1283"/>
      <c r="P52" s="2482"/>
      <c r="Q52" s="1250"/>
      <c r="R52" s="293"/>
      <c r="S52" s="1197"/>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4">
        <v>11</v>
      </c>
    </row>
    <row r="53" spans="1:45" ht="14.65" customHeight="1">
      <c r="A53" s="1282" t="s">
        <v>192</v>
      </c>
      <c r="B53" s="1282" t="s">
        <v>193</v>
      </c>
      <c r="C53" s="1282" t="s">
        <v>194</v>
      </c>
      <c r="D53" s="1282" t="s">
        <v>195</v>
      </c>
      <c r="E53" s="2484"/>
      <c r="F53" s="2484"/>
      <c r="G53" s="2484"/>
      <c r="H53" s="2483"/>
      <c r="I53" s="1282"/>
      <c r="J53" s="1282"/>
      <c r="K53" s="1282"/>
      <c r="L53" s="1283"/>
      <c r="M53" s="1284"/>
      <c r="N53" s="1284"/>
      <c r="O53" s="474"/>
      <c r="P53" s="297"/>
      <c r="Q53" s="312"/>
      <c r="R53" s="292"/>
      <c r="S53" s="1197"/>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74">
        <v>14</v>
      </c>
    </row>
    <row r="54" spans="1:45" s="2245" customFormat="1" ht="1.1499999999999999" customHeight="1">
      <c r="A54" s="1262" t="s">
        <v>192</v>
      </c>
      <c r="B54" s="1262" t="s">
        <v>193</v>
      </c>
      <c r="C54" s="1262" t="s">
        <v>194</v>
      </c>
      <c r="D54" s="1233"/>
      <c r="E54" s="2484"/>
      <c r="F54" s="2484"/>
      <c r="G54" s="2483"/>
      <c r="H54" s="1233"/>
      <c r="I54" s="1233"/>
      <c r="J54" s="1233"/>
      <c r="K54" s="1233"/>
      <c r="L54" s="1258"/>
      <c r="M54" s="1234"/>
      <c r="N54" s="1234"/>
      <c r="P54" s="1235"/>
      <c r="Q54" s="1236"/>
      <c r="R54" s="1235"/>
      <c r="S54" s="1241"/>
      <c r="T54" s="1244" t="s">
        <v>412</v>
      </c>
      <c r="U54" s="1243"/>
      <c r="V54" s="1243"/>
      <c r="W54" s="1243"/>
      <c r="X54" s="1243"/>
      <c r="Y54" s="1243"/>
      <c r="Z54" s="1243"/>
      <c r="AA54" s="1243"/>
      <c r="AB54" s="1243"/>
      <c r="AC54" s="1243"/>
      <c r="AD54" s="1243"/>
      <c r="AE54" s="1243"/>
      <c r="AF54" s="1243"/>
      <c r="AG54" s="1243"/>
      <c r="AH54" s="1243"/>
      <c r="AI54" s="1243"/>
      <c r="AJ54" s="1243"/>
      <c r="AK54" s="1243"/>
      <c r="AL54" s="1243"/>
      <c r="AM54" s="1243"/>
      <c r="AO54" s="720"/>
      <c r="AP54" s="720" t="str">
        <f t="shared" si="1"/>
        <v>Добавить источник для дифференциации</v>
      </c>
      <c r="AQ54" s="720"/>
      <c r="AR54" s="720"/>
      <c r="AS54" s="455">
        <v>1</v>
      </c>
    </row>
    <row r="55" spans="1:45" s="2245" customFormat="1" ht="1.1499999999999999" customHeight="1">
      <c r="A55" s="1262" t="s">
        <v>192</v>
      </c>
      <c r="B55" s="1262" t="s">
        <v>193</v>
      </c>
      <c r="C55" s="1233"/>
      <c r="D55" s="1233"/>
      <c r="E55" s="2484"/>
      <c r="F55" s="2483"/>
      <c r="G55" s="1233"/>
      <c r="H55" s="1233"/>
      <c r="I55" s="1233"/>
      <c r="J55" s="1233"/>
      <c r="K55" s="1233"/>
      <c r="L55" s="1258"/>
      <c r="M55" s="1240"/>
      <c r="N55" s="1240"/>
      <c r="P55" s="1235"/>
      <c r="Q55" s="1236"/>
      <c r="R55" s="1235"/>
      <c r="S55" s="1241"/>
      <c r="T55" s="1244" t="s">
        <v>413</v>
      </c>
      <c r="U55" s="1243"/>
      <c r="V55" s="1243"/>
      <c r="W55" s="1243"/>
      <c r="X55" s="1243"/>
      <c r="Y55" s="1243"/>
      <c r="Z55" s="1243"/>
      <c r="AA55" s="1243"/>
      <c r="AB55" s="1243"/>
      <c r="AC55" s="1243"/>
      <c r="AD55" s="1243"/>
      <c r="AE55" s="1243"/>
      <c r="AF55" s="1243"/>
      <c r="AG55" s="1243"/>
      <c r="AH55" s="1243"/>
      <c r="AI55" s="1243"/>
      <c r="AJ55" s="1243"/>
      <c r="AK55" s="1243"/>
      <c r="AL55" s="1243"/>
      <c r="AM55" s="1243"/>
      <c r="AO55" s="720"/>
      <c r="AP55" s="720" t="str">
        <f t="shared" si="1"/>
        <v>Добавить централизованную систему для дифференциации</v>
      </c>
      <c r="AQ55" s="720"/>
      <c r="AR55" s="720"/>
      <c r="AS55" s="455">
        <v>1</v>
      </c>
    </row>
    <row r="56" spans="1:45" s="2245" customFormat="1" ht="1.1499999999999999" customHeight="1">
      <c r="A56" s="1262" t="s">
        <v>192</v>
      </c>
      <c r="B56" s="1262"/>
      <c r="C56" s="1262"/>
      <c r="D56" s="1262"/>
      <c r="E56" s="2483"/>
      <c r="F56" s="1262"/>
      <c r="G56" s="1262"/>
      <c r="H56" s="1262"/>
      <c r="I56" s="1262"/>
      <c r="J56" s="1262"/>
      <c r="K56" s="1262"/>
      <c r="L56" s="1265"/>
      <c r="M56" s="1240"/>
      <c r="N56" s="1240"/>
      <c r="O56" s="455"/>
      <c r="P56" s="317"/>
      <c r="Q56" s="1263"/>
      <c r="R56" s="317"/>
      <c r="S56" s="1241"/>
      <c r="T56" s="1244" t="s">
        <v>414</v>
      </c>
      <c r="U56" s="1243"/>
      <c r="V56" s="1243"/>
      <c r="W56" s="1243"/>
      <c r="X56" s="1243"/>
      <c r="Y56" s="1243"/>
      <c r="Z56" s="1243"/>
      <c r="AA56" s="1243"/>
      <c r="AB56" s="1243"/>
      <c r="AC56" s="1243"/>
      <c r="AD56" s="1243"/>
      <c r="AE56" s="1243"/>
      <c r="AF56" s="1243"/>
      <c r="AG56" s="1243"/>
      <c r="AH56" s="1243"/>
      <c r="AI56" s="1243"/>
      <c r="AJ56" s="1243"/>
      <c r="AK56" s="1243"/>
      <c r="AL56" s="1243"/>
      <c r="AM56" s="1243"/>
      <c r="AO56" s="437"/>
      <c r="AP56" s="437" t="str">
        <f t="shared" si="1"/>
        <v>Добавить территорию для дифференциации</v>
      </c>
      <c r="AQ56" s="437"/>
      <c r="AR56" s="437"/>
      <c r="AS56" s="448">
        <v>1</v>
      </c>
    </row>
    <row r="57" spans="1:45" s="224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446</v>
      </c>
      <c r="U57" s="1243"/>
      <c r="V57" s="1243"/>
      <c r="W57" s="1243"/>
      <c r="X57" s="1243"/>
      <c r="Y57" s="1243"/>
      <c r="Z57" s="1243"/>
      <c r="AA57" s="1243"/>
      <c r="AB57" s="1243"/>
      <c r="AC57" s="1243"/>
      <c r="AD57" s="1243"/>
      <c r="AE57" s="1243"/>
      <c r="AF57" s="1243"/>
      <c r="AG57" s="1243"/>
      <c r="AH57" s="1243"/>
      <c r="AI57" s="1243"/>
      <c r="AJ57" s="1243"/>
      <c r="AK57" s="1243"/>
      <c r="AL57" s="1243"/>
      <c r="AM57" s="1243"/>
      <c r="AO57" s="720"/>
      <c r="AP57" s="720" t="str">
        <f t="shared" si="1"/>
        <v>Добавить наименование тарифа</v>
      </c>
      <c r="AQ57" s="720"/>
      <c r="AR57" s="720"/>
      <c r="AS57" s="455">
        <v>1</v>
      </c>
    </row>
    <row r="58" spans="1:45" ht="11.45" customHeight="1">
      <c r="M58" s="1079"/>
      <c r="N58" s="1079"/>
      <c r="O58" s="474"/>
      <c r="P58" s="1074"/>
      <c r="Q58" s="1074"/>
      <c r="R58" s="1074"/>
      <c r="S58" s="1074"/>
      <c r="AN58" s="1074"/>
      <c r="AO58" s="1074"/>
      <c r="AP58" s="1074"/>
      <c r="AQ58" s="1074"/>
      <c r="AR58" s="1074"/>
      <c r="AS58" s="1074">
        <v>11</v>
      </c>
    </row>
    <row r="59" spans="1:45" ht="28.5" customHeight="1">
      <c r="O59" s="474"/>
      <c r="S59" s="1172"/>
      <c r="T59" s="2503"/>
      <c r="U59" s="2503"/>
      <c r="V59" s="2503"/>
      <c r="W59" s="2503"/>
      <c r="X59" s="2503"/>
      <c r="Y59" s="2503"/>
      <c r="Z59" s="2503"/>
      <c r="AA59" s="2503"/>
      <c r="AB59" s="2503"/>
      <c r="AC59" s="2503"/>
      <c r="AD59" s="2503"/>
      <c r="AE59" s="2503"/>
      <c r="AF59" s="2503"/>
      <c r="AG59" s="2503"/>
      <c r="AH59" s="2503"/>
      <c r="AI59" s="2503"/>
      <c r="AJ59" s="2503"/>
      <c r="AK59" s="2503"/>
      <c r="AL59" s="2503"/>
      <c r="AM59" s="2503"/>
      <c r="AS59" s="1074">
        <v>27</v>
      </c>
    </row>
    <row r="60" spans="1:45" ht="78.75" customHeight="1">
      <c r="O60" s="474"/>
      <c r="T60" s="2503"/>
      <c r="U60" s="2503"/>
      <c r="V60" s="2503"/>
      <c r="W60" s="2503"/>
      <c r="X60" s="2503"/>
      <c r="Y60" s="2503"/>
      <c r="Z60" s="2503"/>
      <c r="AA60" s="2503"/>
      <c r="AB60" s="2503"/>
      <c r="AC60" s="2503"/>
      <c r="AD60" s="2503"/>
      <c r="AE60" s="2503"/>
      <c r="AF60" s="2503"/>
      <c r="AG60" s="2503"/>
      <c r="AH60" s="2503"/>
      <c r="AI60" s="2503"/>
      <c r="AJ60" s="2503"/>
      <c r="AK60" s="2503"/>
      <c r="AL60" s="2503"/>
      <c r="AM60" s="2503"/>
      <c r="AS60" s="1074">
        <v>75</v>
      </c>
    </row>
    <row r="61" spans="1:45" ht="14.65" customHeight="1">
      <c r="O61" s="474"/>
      <c r="AS61" s="1074">
        <v>14</v>
      </c>
    </row>
    <row r="62" spans="1:45" ht="18.75" customHeight="1">
      <c r="O62" s="474"/>
      <c r="S62" s="1172"/>
      <c r="T62" s="2503"/>
      <c r="U62" s="2503"/>
      <c r="V62" s="2503"/>
      <c r="W62" s="2503"/>
      <c r="X62" s="2503"/>
      <c r="Y62" s="2503"/>
      <c r="Z62" s="2503"/>
      <c r="AA62" s="2503"/>
      <c r="AB62" s="2503"/>
      <c r="AC62" s="2503"/>
      <c r="AD62" s="2503"/>
      <c r="AE62" s="2503"/>
      <c r="AF62" s="2503"/>
      <c r="AG62" s="2503"/>
      <c r="AH62" s="2503"/>
      <c r="AI62" s="2503"/>
      <c r="AJ62" s="2503"/>
      <c r="AK62" s="2503"/>
      <c r="AL62" s="2503"/>
      <c r="AM62" s="2503"/>
      <c r="AS62" s="1074">
        <v>18</v>
      </c>
    </row>
    <row r="63" spans="1:45" ht="18.75" customHeight="1">
      <c r="O63" s="474"/>
      <c r="T63" s="2503"/>
      <c r="U63" s="2503"/>
      <c r="V63" s="2503"/>
      <c r="W63" s="2503"/>
      <c r="X63" s="2503"/>
      <c r="Y63" s="2503"/>
      <c r="Z63" s="2503"/>
      <c r="AA63" s="2503"/>
      <c r="AB63" s="2503"/>
      <c r="AC63" s="2503"/>
      <c r="AD63" s="2503"/>
      <c r="AE63" s="2503"/>
      <c r="AF63" s="2503"/>
      <c r="AG63" s="2503"/>
      <c r="AH63" s="2503"/>
      <c r="AI63" s="2503"/>
      <c r="AJ63" s="2503"/>
      <c r="AK63" s="2503"/>
      <c r="AL63" s="2503"/>
      <c r="AM63" s="2503"/>
      <c r="AS63" s="1074">
        <v>18</v>
      </c>
    </row>
    <row r="64" spans="1:45" ht="39.75" customHeight="1">
      <c r="O64" s="474"/>
      <c r="S64" s="1172"/>
      <c r="T64" s="2503"/>
      <c r="U64" s="2503"/>
      <c r="V64" s="2503"/>
      <c r="W64" s="2503"/>
      <c r="X64" s="2503"/>
      <c r="Y64" s="2503"/>
      <c r="Z64" s="2503"/>
      <c r="AA64" s="2503"/>
      <c r="AB64" s="2503"/>
      <c r="AC64" s="2503"/>
      <c r="AD64" s="2503"/>
      <c r="AE64" s="2503"/>
      <c r="AF64" s="2503"/>
      <c r="AG64" s="2503"/>
      <c r="AH64" s="2503"/>
      <c r="AI64" s="2503"/>
      <c r="AJ64" s="2503"/>
      <c r="AK64" s="2503"/>
      <c r="AL64" s="2503"/>
      <c r="AM64" s="2503"/>
      <c r="AS64" s="1074">
        <v>38</v>
      </c>
    </row>
    <row r="65" spans="1:45" ht="22.5" hidden="1" customHeight="1">
      <c r="A65" s="1079" t="s">
        <v>81</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8">
        <v>12</v>
      </c>
      <c r="T65" s="1074">
        <v>31</v>
      </c>
      <c r="U65" s="1074">
        <v>0</v>
      </c>
      <c r="V65" s="1074">
        <v>0</v>
      </c>
      <c r="W65" s="1074">
        <v>0</v>
      </c>
      <c r="X65" s="1074">
        <v>0</v>
      </c>
      <c r="Y65" s="1074">
        <v>0</v>
      </c>
      <c r="Z65" s="1074">
        <v>0</v>
      </c>
      <c r="AA65" s="1074">
        <v>0</v>
      </c>
      <c r="AB65" s="1074">
        <v>0</v>
      </c>
      <c r="AC65" s="1074">
        <v>0</v>
      </c>
      <c r="AD65" s="1074">
        <v>0</v>
      </c>
      <c r="AE65" s="1074">
        <v>24</v>
      </c>
      <c r="AF65" s="1074">
        <v>0</v>
      </c>
      <c r="AG65" s="1074">
        <v>0</v>
      </c>
      <c r="AH65" s="1074">
        <v>11</v>
      </c>
      <c r="AI65" s="1074">
        <v>3</v>
      </c>
      <c r="AJ65" s="1074">
        <v>11</v>
      </c>
      <c r="AK65" s="1074">
        <v>0</v>
      </c>
      <c r="AL65" s="1074">
        <v>4</v>
      </c>
      <c r="AM65" s="1074">
        <v>115</v>
      </c>
      <c r="AN65" s="448">
        <v>10</v>
      </c>
      <c r="AO65" s="448">
        <v>10</v>
      </c>
      <c r="AP65" s="448">
        <v>10</v>
      </c>
      <c r="AQ65" s="448">
        <v>10</v>
      </c>
      <c r="AR65" s="448">
        <v>10</v>
      </c>
      <c r="AS65" s="1074">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244" hidden="1"/>
    <col min="2" max="2" width="11" style="2244" hidden="1" customWidth="1"/>
    <col min="3" max="3" width="10.5703125" style="2244" hidden="1"/>
    <col min="4" max="4" width="11.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2" style="2244" hidden="1" customWidth="1"/>
    <col min="10" max="10" width="9.85546875" style="2244" hidden="1" customWidth="1"/>
    <col min="11" max="11" width="11.42578125" style="2244" hidden="1" customWidth="1"/>
    <col min="12" max="12" width="19.140625" style="2270" hidden="1" customWidth="1"/>
    <col min="13" max="14" width="12.28515625" style="2271" hidden="1" customWidth="1"/>
    <col min="15" max="15" width="23.42578125" style="2271" hidden="1" customWidth="1"/>
    <col min="16" max="16" width="3.7109375" style="2272" hidden="1" customWidth="1"/>
    <col min="17" max="18" width="3" style="2273" customWidth="1"/>
    <col min="19" max="19" width="12" style="2274" customWidth="1"/>
    <col min="20" max="20" width="31" style="2238" customWidth="1"/>
    <col min="21" max="21" width="0.140625" style="2238" customWidth="1"/>
    <col min="22" max="22" width="24.7109375" style="2238" hidden="1" customWidth="1"/>
    <col min="23" max="23" width="0.140625" style="2238" hidden="1" customWidth="1"/>
    <col min="24" max="25" width="24.7109375" style="2238" hidden="1" customWidth="1"/>
    <col min="26" max="26" width="11.7109375" style="2238" hidden="1" customWidth="1"/>
    <col min="27" max="27" width="3.7109375" style="2238" hidden="1" customWidth="1"/>
    <col min="28" max="28" width="11.7109375" style="2238" hidden="1" customWidth="1"/>
    <col min="29" max="29" width="8.5703125" style="2238" hidden="1" customWidth="1"/>
    <col min="30" max="30" width="24.7109375" style="2238" customWidth="1"/>
    <col min="31" max="31" width="0.140625" style="2238" customWidth="1"/>
    <col min="32" max="33" width="24" style="2238" customWidth="1"/>
    <col min="34" max="34" width="11" style="2238" customWidth="1"/>
    <col min="35" max="35" width="3.7109375" style="2238" customWidth="1"/>
    <col min="36" max="36" width="11" style="2238" customWidth="1"/>
    <col min="37" max="37" width="8.5703125" style="2238" hidden="1" customWidth="1"/>
    <col min="38" max="38" width="4" style="2238" customWidth="1"/>
    <col min="39" max="39" width="115" style="2238" customWidth="1"/>
    <col min="40" max="44" width="10" style="2245" customWidth="1"/>
    <col min="45" max="45" width="8.42578125" style="2238" hidden="1" customWidth="1"/>
  </cols>
  <sheetData>
    <row r="1" spans="1:45" ht="22.5" hidden="1" customHeight="1">
      <c r="Y1" s="264"/>
      <c r="Z1" s="264"/>
      <c r="AG1" s="264"/>
      <c r="AH1" s="264"/>
      <c r="AS1" s="1074" t="s">
        <v>14</v>
      </c>
    </row>
    <row r="2" spans="1:45" ht="21" hidden="1" customHeight="1">
      <c r="A2" s="1282"/>
      <c r="B2" s="1282"/>
      <c r="C2" s="1282"/>
      <c r="D2" s="1282"/>
      <c r="E2" s="2483">
        <v>1</v>
      </c>
      <c r="F2" s="1282"/>
      <c r="G2" s="1282"/>
      <c r="H2" s="1282"/>
      <c r="I2" s="1282"/>
      <c r="J2" s="1282"/>
      <c r="K2" s="1282"/>
      <c r="L2" s="1283"/>
      <c r="M2" s="1284"/>
      <c r="N2" s="1284"/>
      <c r="O2" s="1284"/>
      <c r="P2" s="298"/>
      <c r="Q2" s="297"/>
      <c r="R2" s="292"/>
      <c r="S2" s="1255" t="e">
        <f>INDEX(PT_DIFFERENTIATION_NUM_NTAR,MATCH(A2,PT_DIFFERENTIATION_NTAR_ID,0))</f>
        <v>#N/A</v>
      </c>
      <c r="T2" s="235" t="s">
        <v>123</v>
      </c>
      <c r="U2" s="237"/>
      <c r="V2" s="2469"/>
      <c r="W2" s="2470"/>
      <c r="X2" s="2470"/>
      <c r="Y2" s="2470"/>
      <c r="Z2" s="2470"/>
      <c r="AA2" s="2470"/>
      <c r="AB2" s="2470"/>
      <c r="AC2" s="2471"/>
      <c r="AD2" s="2469" t="e">
        <f>INDEX(PT_DIFFERENTIATION_NTAR,MATCH(A2,PT_DIFFERENTIATION_NTAR_ID,0))</f>
        <v>#N/A</v>
      </c>
      <c r="AE2" s="2470"/>
      <c r="AF2" s="2470"/>
      <c r="AG2" s="2470"/>
      <c r="AH2" s="2470"/>
      <c r="AI2" s="2470"/>
      <c r="AJ2" s="2470"/>
      <c r="AK2" s="2470"/>
      <c r="AL2" s="2471"/>
      <c r="AM2" s="1177" t="s">
        <v>394</v>
      </c>
      <c r="AO2" s="437"/>
      <c r="AP2" s="437" t="str">
        <f t="shared" ref="AP2:AP15" si="0">IF(T2="","",T2)</f>
        <v>Наименование тарифа</v>
      </c>
      <c r="AQ2" s="437"/>
      <c r="AR2" s="437"/>
      <c r="AS2" s="1074">
        <v>0</v>
      </c>
    </row>
    <row r="3" spans="1:45" ht="21" hidden="1" customHeight="1">
      <c r="A3" s="1282"/>
      <c r="B3" s="1282"/>
      <c r="C3" s="1282"/>
      <c r="D3" s="1282"/>
      <c r="E3" s="2484"/>
      <c r="F3" s="2483">
        <v>1</v>
      </c>
      <c r="G3" s="1282"/>
      <c r="H3" s="1282"/>
      <c r="I3" s="1282"/>
      <c r="J3" s="1282"/>
      <c r="K3" s="1282"/>
      <c r="L3" s="1283"/>
      <c r="M3" s="1284"/>
      <c r="N3" s="1284"/>
      <c r="O3" s="1284"/>
      <c r="P3" s="1251"/>
      <c r="Q3" s="289"/>
      <c r="R3" s="290"/>
      <c r="S3" s="1255" t="e">
        <f>INDEX(PT_DIFFERENTIATION_NUM_TER,MATCH(B3,PT_DIFFERENTIATION_TER_ID,0))</f>
        <v>#N/A</v>
      </c>
      <c r="T3" s="245" t="s">
        <v>395</v>
      </c>
      <c r="U3" s="237"/>
      <c r="V3" s="2469"/>
      <c r="W3" s="2470"/>
      <c r="X3" s="2470"/>
      <c r="Y3" s="2470"/>
      <c r="Z3" s="2470"/>
      <c r="AA3" s="2470"/>
      <c r="AB3" s="2470"/>
      <c r="AC3" s="2471"/>
      <c r="AD3" s="2469" t="e">
        <f>INDEX(PT_DIFFERENTIATION_TER,MATCH(B3,PT_DIFFERENTIATION_TER_ID,0))</f>
        <v>#N/A</v>
      </c>
      <c r="AE3" s="2470"/>
      <c r="AF3" s="2470"/>
      <c r="AG3" s="2470"/>
      <c r="AH3" s="2470"/>
      <c r="AI3" s="2470"/>
      <c r="AJ3" s="2470"/>
      <c r="AK3" s="2470"/>
      <c r="AL3" s="2471"/>
      <c r="AM3" s="1177" t="s">
        <v>396</v>
      </c>
      <c r="AO3" s="437"/>
      <c r="AP3" s="437" t="str">
        <f t="shared" si="0"/>
        <v>Территория действия тарифа</v>
      </c>
      <c r="AQ3" s="437"/>
      <c r="AR3" s="437"/>
      <c r="AS3" s="1074">
        <v>0</v>
      </c>
    </row>
    <row r="4" spans="1:45" ht="23.25" hidden="1" customHeight="1">
      <c r="A4" s="1282"/>
      <c r="B4" s="1282"/>
      <c r="C4" s="1282"/>
      <c r="D4" s="1282"/>
      <c r="E4" s="2484"/>
      <c r="F4" s="2484"/>
      <c r="G4" s="2483">
        <v>1</v>
      </c>
      <c r="H4" s="1282"/>
      <c r="I4" s="1282"/>
      <c r="J4" s="1282"/>
      <c r="K4" s="1282"/>
      <c r="L4" s="1283"/>
      <c r="M4" s="1284"/>
      <c r="N4" s="1284"/>
      <c r="O4" s="1284"/>
      <c r="P4" s="291"/>
      <c r="Q4" s="289"/>
      <c r="R4" s="290"/>
      <c r="S4" s="1255" t="e">
        <f>INDEX(PT_DIFFERENTIATION_NUM_CS,MATCH(C4,PT_DIFFERENTIATION_CS_ID,0))</f>
        <v>#N/A</v>
      </c>
      <c r="T4" s="246" t="s">
        <v>397</v>
      </c>
      <c r="U4" s="237"/>
      <c r="V4" s="2469"/>
      <c r="W4" s="2470"/>
      <c r="X4" s="2470"/>
      <c r="Y4" s="2470"/>
      <c r="Z4" s="2470"/>
      <c r="AA4" s="2470"/>
      <c r="AB4" s="2470"/>
      <c r="AC4" s="2471"/>
      <c r="AD4" s="2469" t="e">
        <f>INDEX(PT_DIFFERENTIATION_CS,MATCH(C4,PT_DIFFERENTIATION_CS_ID,0))</f>
        <v>#N/A</v>
      </c>
      <c r="AE4" s="2470"/>
      <c r="AF4" s="2470"/>
      <c r="AG4" s="2470"/>
      <c r="AH4" s="2470"/>
      <c r="AI4" s="2470"/>
      <c r="AJ4" s="2470"/>
      <c r="AK4" s="2470"/>
      <c r="AL4" s="2471"/>
      <c r="AM4" s="1177" t="s">
        <v>398</v>
      </c>
      <c r="AO4" s="437"/>
      <c r="AP4" s="437" t="str">
        <f t="shared" si="0"/>
        <v xml:space="preserve">Наименование системы теплоснабжения </v>
      </c>
      <c r="AQ4" s="437"/>
      <c r="AR4" s="437"/>
      <c r="AS4" s="1074">
        <v>0</v>
      </c>
    </row>
    <row r="5" spans="1:45" ht="21" hidden="1" customHeight="1">
      <c r="A5" s="1282"/>
      <c r="B5" s="1282"/>
      <c r="C5" s="1282"/>
      <c r="D5" s="1282"/>
      <c r="E5" s="2484"/>
      <c r="F5" s="2484"/>
      <c r="G5" s="2484"/>
      <c r="H5" s="2483">
        <v>1</v>
      </c>
      <c r="I5" s="1282"/>
      <c r="J5" s="1282"/>
      <c r="K5" s="1282"/>
      <c r="L5" s="1283"/>
      <c r="M5" s="1284"/>
      <c r="N5" s="1284"/>
      <c r="O5" s="1284"/>
      <c r="P5" s="291"/>
      <c r="Q5" s="289"/>
      <c r="R5" s="290"/>
      <c r="S5" s="1255" t="e">
        <f>INDEX(PT_DIFFERENTIATION_NUM_IST_TE,MATCH(D5,PT_DIFFERENTIATION_IST_TE_ID,0))</f>
        <v>#N/A</v>
      </c>
      <c r="T5" s="247" t="s">
        <v>399</v>
      </c>
      <c r="U5" s="237"/>
      <c r="V5" s="2469"/>
      <c r="W5" s="2470"/>
      <c r="X5" s="2470"/>
      <c r="Y5" s="2470"/>
      <c r="Z5" s="2470"/>
      <c r="AA5" s="2470"/>
      <c r="AB5" s="2470"/>
      <c r="AC5" s="2471"/>
      <c r="AD5" s="2469" t="e">
        <f>INDEX(PT_DIFFERENTIATION_IST_TE,MATCH(D5,PT_DIFFERENTIATION_IST_TE_ID,0))</f>
        <v>#N/A</v>
      </c>
      <c r="AE5" s="2470"/>
      <c r="AF5" s="2470"/>
      <c r="AG5" s="2470"/>
      <c r="AH5" s="2470"/>
      <c r="AI5" s="2470"/>
      <c r="AJ5" s="2470"/>
      <c r="AK5" s="2470"/>
      <c r="AL5" s="2471"/>
      <c r="AM5" s="1177" t="s">
        <v>400</v>
      </c>
      <c r="AO5" s="437"/>
      <c r="AP5" s="437" t="str">
        <f t="shared" si="0"/>
        <v xml:space="preserve">Источник тепловой энергии  </v>
      </c>
      <c r="AQ5" s="437"/>
      <c r="AR5" s="437"/>
      <c r="AS5" s="1074">
        <v>0</v>
      </c>
    </row>
    <row r="6" spans="1:45" ht="14.25" hidden="1" customHeight="1">
      <c r="A6" s="1282"/>
      <c r="B6" s="1282"/>
      <c r="C6" s="1282"/>
      <c r="D6" s="1282"/>
      <c r="E6" s="2484"/>
      <c r="F6" s="2484"/>
      <c r="G6" s="2484"/>
      <c r="H6" s="2484"/>
      <c r="I6" s="2481" t="e">
        <f>S5&amp;".1"</f>
        <v>#N/A</v>
      </c>
      <c r="J6" s="1282"/>
      <c r="K6" s="1282"/>
      <c r="L6" s="1283" t="s">
        <v>401</v>
      </c>
      <c r="M6" s="474"/>
      <c r="P6" s="2482">
        <v>1</v>
      </c>
      <c r="Q6" s="1250"/>
      <c r="R6" s="293"/>
      <c r="S6" s="966"/>
      <c r="T6" s="1302"/>
      <c r="U6" s="1303"/>
      <c r="V6" s="2512"/>
      <c r="W6" s="2513"/>
      <c r="X6" s="2513"/>
      <c r="Y6" s="2513"/>
      <c r="Z6" s="2513"/>
      <c r="AA6" s="2513"/>
      <c r="AB6" s="2513"/>
      <c r="AC6" s="2514"/>
      <c r="AD6" s="2512"/>
      <c r="AE6" s="2513"/>
      <c r="AF6" s="2513"/>
      <c r="AG6" s="2513"/>
      <c r="AH6" s="2513"/>
      <c r="AI6" s="2513"/>
      <c r="AJ6" s="2513"/>
      <c r="AK6" s="2513"/>
      <c r="AL6" s="2514"/>
      <c r="AM6" s="1304"/>
      <c r="AO6" s="437"/>
      <c r="AP6" s="437" t="str">
        <f t="shared" si="0"/>
        <v/>
      </c>
      <c r="AQ6" s="437"/>
      <c r="AR6" s="437"/>
      <c r="AS6" s="1074">
        <v>0</v>
      </c>
    </row>
    <row r="7" spans="1:45" ht="21" hidden="1" customHeight="1">
      <c r="A7" s="1282"/>
      <c r="B7" s="1282"/>
      <c r="C7" s="1282"/>
      <c r="D7" s="1282"/>
      <c r="E7" s="2484"/>
      <c r="F7" s="2484"/>
      <c r="G7" s="2484"/>
      <c r="H7" s="2484"/>
      <c r="I7" s="2504"/>
      <c r="J7" s="2481" t="e">
        <f>I6&amp;".1"</f>
        <v>#N/A</v>
      </c>
      <c r="K7" s="1282"/>
      <c r="L7" s="1283" t="s">
        <v>404</v>
      </c>
      <c r="M7" s="474"/>
      <c r="N7" s="1285"/>
      <c r="P7" s="2482"/>
      <c r="Q7" s="2482">
        <v>1</v>
      </c>
      <c r="R7" s="294"/>
      <c r="S7" s="1255" t="e">
        <f>$J7</f>
        <v>#N/A</v>
      </c>
      <c r="T7" s="223" t="s">
        <v>405</v>
      </c>
      <c r="U7" s="237"/>
      <c r="V7" s="2472"/>
      <c r="W7" s="2473"/>
      <c r="X7" s="2473"/>
      <c r="Y7" s="2473"/>
      <c r="Z7" s="2473"/>
      <c r="AA7" s="2473"/>
      <c r="AB7" s="2473"/>
      <c r="AC7" s="2474"/>
      <c r="AD7" s="2472"/>
      <c r="AE7" s="2473"/>
      <c r="AF7" s="2473"/>
      <c r="AG7" s="2473"/>
      <c r="AH7" s="2473"/>
      <c r="AI7" s="2473"/>
      <c r="AJ7" s="2473"/>
      <c r="AK7" s="2473"/>
      <c r="AL7" s="2474"/>
      <c r="AM7" s="1177" t="s">
        <v>406</v>
      </c>
      <c r="AO7" s="437"/>
      <c r="AP7" s="437" t="str">
        <f t="shared" si="0"/>
        <v>Группа потребителей</v>
      </c>
      <c r="AQ7" s="437"/>
      <c r="AR7" s="437"/>
      <c r="AS7" s="1074">
        <v>0</v>
      </c>
    </row>
    <row r="8" spans="1:45" ht="21" hidden="1" customHeight="1">
      <c r="A8" s="1282"/>
      <c r="B8" s="1282"/>
      <c r="C8" s="1282"/>
      <c r="D8" s="1282"/>
      <c r="E8" s="2484"/>
      <c r="F8" s="2484"/>
      <c r="G8" s="2484"/>
      <c r="H8" s="2484"/>
      <c r="I8" s="2504"/>
      <c r="J8" s="2504"/>
      <c r="K8" s="2481" t="e">
        <f>J7&amp;".1"</f>
        <v>#N/A</v>
      </c>
      <c r="L8" s="1283" t="s">
        <v>407</v>
      </c>
      <c r="M8" s="474"/>
      <c r="N8" s="1285"/>
      <c r="O8" s="1285"/>
      <c r="P8" s="2482"/>
      <c r="Q8" s="2482"/>
      <c r="R8" s="294">
        <v>1</v>
      </c>
      <c r="S8" s="1255" t="e">
        <f>$K8</f>
        <v>#N/A</v>
      </c>
      <c r="T8" s="1266"/>
      <c r="U8" s="237"/>
      <c r="V8" s="688"/>
      <c r="W8" s="262"/>
      <c r="X8" s="688"/>
      <c r="Y8" s="1176"/>
      <c r="Z8" s="2486"/>
      <c r="AA8" s="2344" t="s">
        <v>64</v>
      </c>
      <c r="AB8" s="2486"/>
      <c r="AC8" s="2344" t="s">
        <v>64</v>
      </c>
      <c r="AD8" s="688"/>
      <c r="AE8" s="262"/>
      <c r="AF8" s="688"/>
      <c r="AG8" s="1176"/>
      <c r="AH8" s="2486"/>
      <c r="AI8" s="2344" t="s">
        <v>64</v>
      </c>
      <c r="AJ8" s="2486"/>
      <c r="AK8" s="2344" t="s">
        <v>64</v>
      </c>
      <c r="AL8" s="262"/>
      <c r="AM8" s="2478" t="s">
        <v>408</v>
      </c>
      <c r="AN8" s="448" t="e">
        <f ca="1">STRCHECKDATE(V9:AL9)</f>
        <v>#NAME?</v>
      </c>
      <c r="AO8" s="437"/>
      <c r="AP8" s="437" t="str">
        <f t="shared" si="0"/>
        <v/>
      </c>
      <c r="AQ8" s="437"/>
      <c r="AR8" s="437"/>
      <c r="AS8" s="1074">
        <v>0</v>
      </c>
    </row>
    <row r="9" spans="1:45" ht="0.75" hidden="1" customHeight="1">
      <c r="A9" s="1282"/>
      <c r="B9" s="1282"/>
      <c r="C9" s="1282"/>
      <c r="D9" s="1282"/>
      <c r="E9" s="2484"/>
      <c r="F9" s="2484"/>
      <c r="G9" s="2484"/>
      <c r="H9" s="2484"/>
      <c r="I9" s="2504"/>
      <c r="J9" s="2504"/>
      <c r="K9" s="2481"/>
      <c r="L9" s="1283"/>
      <c r="M9" s="474"/>
      <c r="N9" s="1285"/>
      <c r="O9" s="1285"/>
      <c r="P9" s="2482"/>
      <c r="Q9" s="2482"/>
      <c r="R9" s="294"/>
      <c r="S9" s="1261"/>
      <c r="T9" s="237"/>
      <c r="U9" s="237"/>
      <c r="V9" s="262"/>
      <c r="W9" s="262"/>
      <c r="X9" s="262"/>
      <c r="Y9" s="265" t="str">
        <f>Z8&amp;"-"&amp;AB8</f>
        <v>-</v>
      </c>
      <c r="Z9" s="2487"/>
      <c r="AA9" s="2344"/>
      <c r="AB9" s="2487"/>
      <c r="AC9" s="2344"/>
      <c r="AD9" s="262"/>
      <c r="AE9" s="262"/>
      <c r="AF9" s="262"/>
      <c r="AG9" s="265" t="str">
        <f>AH8&amp;"-"&amp;AJ8</f>
        <v>-</v>
      </c>
      <c r="AH9" s="2487"/>
      <c r="AI9" s="2344"/>
      <c r="AJ9" s="2487"/>
      <c r="AK9" s="2344"/>
      <c r="AL9" s="262"/>
      <c r="AM9" s="2479"/>
      <c r="AO9" s="437"/>
      <c r="AP9" s="437" t="str">
        <f t="shared" si="0"/>
        <v/>
      </c>
      <c r="AQ9" s="437"/>
      <c r="AR9" s="437"/>
      <c r="AS9" s="1074">
        <v>0</v>
      </c>
    </row>
    <row r="10" spans="1:45" ht="15" hidden="1" customHeight="1">
      <c r="A10" s="1282"/>
      <c r="B10" s="1282"/>
      <c r="C10" s="1282"/>
      <c r="D10" s="1282"/>
      <c r="E10" s="2484"/>
      <c r="F10" s="2484"/>
      <c r="G10" s="2484"/>
      <c r="H10" s="2484"/>
      <c r="I10" s="2504"/>
      <c r="J10" s="2481"/>
      <c r="K10" s="1282"/>
      <c r="L10" s="1283"/>
      <c r="M10" s="474"/>
      <c r="N10" s="1285"/>
      <c r="P10" s="2482"/>
      <c r="Q10" s="2482"/>
      <c r="R10" s="293"/>
      <c r="S10" s="1197"/>
      <c r="T10" s="224" t="s">
        <v>409</v>
      </c>
      <c r="U10" s="304"/>
      <c r="V10" s="304"/>
      <c r="W10" s="304"/>
      <c r="X10" s="304"/>
      <c r="Y10" s="304"/>
      <c r="Z10" s="304"/>
      <c r="AA10" s="304"/>
      <c r="AB10" s="304"/>
      <c r="AC10" s="304"/>
      <c r="AD10" s="304"/>
      <c r="AE10" s="304"/>
      <c r="AF10" s="304"/>
      <c r="AG10" s="304"/>
      <c r="AH10" s="304"/>
      <c r="AI10" s="304"/>
      <c r="AJ10" s="304"/>
      <c r="AK10" s="304"/>
      <c r="AL10" s="261"/>
      <c r="AM10" s="2480"/>
      <c r="AO10" s="437"/>
      <c r="AP10" s="437" t="str">
        <f t="shared" si="0"/>
        <v>Добавить вид теплоносителя (параметры теплоносителя)</v>
      </c>
      <c r="AQ10" s="437"/>
      <c r="AR10" s="437"/>
      <c r="AS10" s="1074">
        <v>0</v>
      </c>
    </row>
    <row r="11" spans="1:45" ht="15" hidden="1" customHeight="1">
      <c r="A11" s="1282"/>
      <c r="B11" s="1282"/>
      <c r="C11" s="1282"/>
      <c r="D11" s="1282"/>
      <c r="E11" s="2484"/>
      <c r="F11" s="2484"/>
      <c r="G11" s="2484"/>
      <c r="H11" s="2484"/>
      <c r="I11" s="2481"/>
      <c r="J11" s="1282"/>
      <c r="K11" s="1282"/>
      <c r="L11" s="1283"/>
      <c r="M11" s="474"/>
      <c r="P11" s="2482"/>
      <c r="Q11" s="1250"/>
      <c r="R11" s="293"/>
      <c r="S11" s="1197"/>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4">
        <v>0</v>
      </c>
    </row>
    <row r="12" spans="1:45" ht="14.25" hidden="1" customHeight="1">
      <c r="A12" s="1282"/>
      <c r="B12" s="1282"/>
      <c r="C12" s="1282"/>
      <c r="D12" s="1282"/>
      <c r="E12" s="2484"/>
      <c r="F12" s="2484"/>
      <c r="G12" s="2484"/>
      <c r="H12" s="2483"/>
      <c r="I12" s="1282"/>
      <c r="J12" s="1282"/>
      <c r="K12" s="1282"/>
      <c r="L12" s="1283"/>
      <c r="M12" s="1284"/>
      <c r="N12" s="1284"/>
      <c r="O12" s="474"/>
      <c r="P12" s="297"/>
      <c r="Q12" s="312"/>
      <c r="R12" s="292"/>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7"/>
      <c r="AP12" s="437" t="str">
        <f t="shared" si="0"/>
        <v/>
      </c>
      <c r="AQ12" s="437"/>
      <c r="AR12" s="437"/>
      <c r="AS12" s="1074">
        <v>0</v>
      </c>
    </row>
    <row r="13" spans="1:45" s="2245" customFormat="1" ht="0.75" hidden="1" customHeight="1">
      <c r="A13" s="1233"/>
      <c r="B13" s="1233"/>
      <c r="C13" s="1233"/>
      <c r="D13" s="1233"/>
      <c r="E13" s="2484"/>
      <c r="F13" s="2484"/>
      <c r="G13" s="2483"/>
      <c r="H13" s="1233"/>
      <c r="I13" s="1233"/>
      <c r="J13" s="1233"/>
      <c r="K13" s="1233"/>
      <c r="L13" s="1258"/>
      <c r="M13" s="1234"/>
      <c r="N13" s="1234"/>
      <c r="P13" s="1235"/>
      <c r="Q13" s="1236"/>
      <c r="R13" s="1235"/>
      <c r="S13" s="1237"/>
      <c r="T13" s="1238" t="s">
        <v>412</v>
      </c>
      <c r="U13" s="1239"/>
      <c r="V13" s="1239"/>
      <c r="W13" s="1239"/>
      <c r="X13" s="1239"/>
      <c r="Y13" s="1239"/>
      <c r="Z13" s="1239"/>
      <c r="AA13" s="1239"/>
      <c r="AB13" s="1239"/>
      <c r="AC13" s="1239"/>
      <c r="AD13" s="1239"/>
      <c r="AE13" s="1239"/>
      <c r="AF13" s="1239"/>
      <c r="AG13" s="1239"/>
      <c r="AH13" s="1239"/>
      <c r="AI13" s="1239"/>
      <c r="AJ13" s="1239"/>
      <c r="AK13" s="1239"/>
      <c r="AL13" s="1239"/>
      <c r="AM13" s="1239"/>
      <c r="AO13" s="720"/>
      <c r="AP13" s="720" t="str">
        <f t="shared" si="0"/>
        <v>Добавить источник для дифференциации</v>
      </c>
      <c r="AQ13" s="720"/>
      <c r="AR13" s="720"/>
      <c r="AS13" s="455">
        <v>0</v>
      </c>
    </row>
    <row r="14" spans="1:45" s="2245" customFormat="1" ht="0.75" hidden="1" customHeight="1">
      <c r="A14" s="1233"/>
      <c r="B14" s="1233"/>
      <c r="C14" s="1233"/>
      <c r="D14" s="1233"/>
      <c r="E14" s="2484"/>
      <c r="F14" s="2483"/>
      <c r="G14" s="1233"/>
      <c r="H14" s="1233"/>
      <c r="I14" s="1233"/>
      <c r="J14" s="1233"/>
      <c r="K14" s="1233"/>
      <c r="L14" s="1258"/>
      <c r="M14" s="1240"/>
      <c r="N14" s="1240"/>
      <c r="P14" s="1235"/>
      <c r="Q14" s="1236"/>
      <c r="R14" s="1235"/>
      <c r="S14" s="1241"/>
      <c r="T14" s="1242" t="s">
        <v>413</v>
      </c>
      <c r="U14" s="1243"/>
      <c r="V14" s="1243"/>
      <c r="W14" s="1243"/>
      <c r="X14" s="1243"/>
      <c r="Y14" s="1243"/>
      <c r="Z14" s="1243"/>
      <c r="AA14" s="1243"/>
      <c r="AB14" s="1243"/>
      <c r="AC14" s="1243"/>
      <c r="AD14" s="1243"/>
      <c r="AE14" s="1243"/>
      <c r="AF14" s="1243"/>
      <c r="AG14" s="1243"/>
      <c r="AH14" s="1243"/>
      <c r="AI14" s="1243"/>
      <c r="AJ14" s="1243"/>
      <c r="AK14" s="1243"/>
      <c r="AL14" s="1243"/>
      <c r="AM14" s="1243"/>
      <c r="AO14" s="720"/>
      <c r="AP14" s="720" t="str">
        <f t="shared" si="0"/>
        <v>Добавить централизованную систему для дифференциации</v>
      </c>
      <c r="AQ14" s="720"/>
      <c r="AR14" s="720"/>
      <c r="AS14" s="455">
        <v>0</v>
      </c>
    </row>
    <row r="15" spans="1:45" s="2245" customFormat="1" ht="0.75" hidden="1" customHeight="1">
      <c r="A15" s="1233"/>
      <c r="B15" s="1233"/>
      <c r="C15" s="1233"/>
      <c r="D15" s="1233"/>
      <c r="E15" s="2483"/>
      <c r="F15" s="1233"/>
      <c r="G15" s="1233"/>
      <c r="H15" s="1233"/>
      <c r="I15" s="1233"/>
      <c r="J15" s="1233"/>
      <c r="K15" s="1233"/>
      <c r="L15" s="1258"/>
      <c r="M15" s="1240"/>
      <c r="N15" s="1240"/>
      <c r="P15" s="1235"/>
      <c r="Q15" s="1236"/>
      <c r="R15" s="1235"/>
      <c r="S15" s="1241"/>
      <c r="T15" s="1244" t="s">
        <v>414</v>
      </c>
      <c r="U15" s="1243"/>
      <c r="V15" s="1243"/>
      <c r="W15" s="1243"/>
      <c r="X15" s="1243"/>
      <c r="Y15" s="1243"/>
      <c r="Z15" s="1243"/>
      <c r="AA15" s="1243"/>
      <c r="AB15" s="1243"/>
      <c r="AC15" s="1243"/>
      <c r="AD15" s="1243"/>
      <c r="AE15" s="1243"/>
      <c r="AF15" s="1243"/>
      <c r="AG15" s="1243"/>
      <c r="AH15" s="1243"/>
      <c r="AI15" s="1243"/>
      <c r="AJ15" s="1243"/>
      <c r="AK15" s="1243"/>
      <c r="AL15" s="1243"/>
      <c r="AM15" s="1243"/>
      <c r="AO15" s="720"/>
      <c r="AP15" s="720" t="str">
        <f t="shared" si="0"/>
        <v>Добавить территорию для дифференциации</v>
      </c>
      <c r="AQ15" s="720"/>
      <c r="AR15" s="720"/>
      <c r="AS15" s="455">
        <v>0</v>
      </c>
    </row>
    <row r="16" spans="1:45" ht="14.25" hidden="1" customHeight="1">
      <c r="AC16" s="264"/>
      <c r="AK16" s="264"/>
      <c r="AS16" s="1074">
        <v>0</v>
      </c>
    </row>
    <row r="17" spans="1:45" ht="14.25" hidden="1" customHeight="1">
      <c r="AD17" s="1279"/>
      <c r="AE17" s="1279"/>
      <c r="AF17" s="1279"/>
      <c r="AG17" s="1280"/>
      <c r="AH17" s="2488"/>
      <c r="AI17" s="2489" t="s">
        <v>64</v>
      </c>
      <c r="AJ17" s="2488"/>
      <c r="AK17" s="2489" t="s">
        <v>64</v>
      </c>
      <c r="AS17" s="1074">
        <v>0</v>
      </c>
    </row>
    <row r="18" spans="1:45" ht="14.25" hidden="1" customHeight="1">
      <c r="AD18" s="1279"/>
      <c r="AE18" s="1279"/>
      <c r="AF18" s="1279"/>
      <c r="AG18" s="265" t="str">
        <f>AH17&amp;"-"&amp;AJ17</f>
        <v>-</v>
      </c>
      <c r="AH18" s="2489"/>
      <c r="AI18" s="2489"/>
      <c r="AJ18" s="2489"/>
      <c r="AK18" s="2489"/>
      <c r="AS18" s="1074">
        <v>0</v>
      </c>
    </row>
    <row r="19" spans="1:45" ht="14.25" hidden="1" customHeight="1">
      <c r="AK19" s="264"/>
      <c r="AS19" s="1074">
        <v>0</v>
      </c>
    </row>
    <row r="20" spans="1:45" s="2244" customFormat="1" ht="22.5" hidden="1" customHeight="1">
      <c r="L20" s="1248"/>
      <c r="M20" s="1281"/>
      <c r="N20" s="1281"/>
      <c r="O20" s="1286" t="s">
        <v>415</v>
      </c>
      <c r="P20" s="1281"/>
      <c r="Q20" s="1290"/>
      <c r="R20" s="1290"/>
      <c r="S20" s="666"/>
      <c r="Z20" s="1286"/>
      <c r="AB20" s="1286"/>
      <c r="AC20" s="1285"/>
      <c r="AH20" s="1286"/>
      <c r="AJ20" s="1286"/>
      <c r="AK20" s="1285"/>
      <c r="AN20" s="448"/>
      <c r="AO20" s="448"/>
      <c r="AP20" s="448"/>
      <c r="AQ20" s="448"/>
      <c r="AR20" s="448"/>
      <c r="AS20" s="1079">
        <v>0</v>
      </c>
    </row>
    <row r="21" spans="1:45" s="2244" customFormat="1" ht="14.25" hidden="1" customHeight="1">
      <c r="L21" s="1248"/>
      <c r="M21" s="1281"/>
      <c r="N21" s="1281"/>
      <c r="O21" s="1281"/>
      <c r="P21" s="1281"/>
      <c r="Q21" s="1290"/>
      <c r="R21" s="1290"/>
      <c r="S21" s="666"/>
      <c r="AC21" s="1285"/>
      <c r="AK21" s="1285"/>
      <c r="AN21" s="448"/>
      <c r="AO21" s="448"/>
      <c r="AP21" s="448"/>
      <c r="AQ21" s="448"/>
      <c r="AR21" s="448"/>
      <c r="AS21" s="1079">
        <v>0</v>
      </c>
    </row>
    <row r="22" spans="1:45" s="2244" customFormat="1" ht="14.25" hidden="1" customHeight="1">
      <c r="L22" s="1248"/>
      <c r="M22" s="1281"/>
      <c r="N22" s="1281"/>
      <c r="O22" s="1283" t="s">
        <v>416</v>
      </c>
      <c r="P22" s="1281"/>
      <c r="Q22" s="1290"/>
      <c r="R22" s="1290"/>
      <c r="S22" s="666"/>
      <c r="T22" s="1079" t="s">
        <v>417</v>
      </c>
      <c r="AA22" s="123" t="s">
        <v>418</v>
      </c>
      <c r="AC22" s="123" t="s">
        <v>419</v>
      </c>
      <c r="AD22" s="1079" t="s">
        <v>417</v>
      </c>
      <c r="AI22" s="123" t="s">
        <v>420</v>
      </c>
      <c r="AK22" s="123" t="s">
        <v>419</v>
      </c>
      <c r="AN22" s="448"/>
      <c r="AO22" s="448"/>
      <c r="AP22" s="448"/>
      <c r="AQ22" s="448"/>
      <c r="AR22" s="448"/>
      <c r="AS22" s="1079">
        <v>0</v>
      </c>
    </row>
    <row r="23" spans="1:45" ht="14.25" hidden="1" customHeight="1">
      <c r="O23" s="1283"/>
      <c r="AS23" s="1074">
        <v>0</v>
      </c>
    </row>
    <row r="24" spans="1:45" ht="14.25" hidden="1" customHeight="1">
      <c r="O24" s="1283"/>
      <c r="AS24" s="1074">
        <v>0</v>
      </c>
    </row>
    <row r="25" spans="1:45" ht="14.65" customHeight="1">
      <c r="Q25" s="313"/>
      <c r="R25" s="313"/>
      <c r="S25" s="1194"/>
      <c r="T25" s="300"/>
      <c r="U25" s="300"/>
      <c r="V25" s="446"/>
      <c r="W25" s="446"/>
      <c r="X25" s="446"/>
      <c r="Y25" s="446"/>
      <c r="Z25" s="446"/>
      <c r="AA25" s="446"/>
      <c r="AB25" s="446"/>
      <c r="AC25" s="446"/>
      <c r="AD25" s="446"/>
      <c r="AE25" s="446"/>
      <c r="AF25" s="446"/>
      <c r="AG25" s="446"/>
      <c r="AH25" s="446"/>
      <c r="AI25" s="446"/>
      <c r="AJ25" s="446"/>
      <c r="AK25" s="446"/>
      <c r="AS25" s="1074">
        <v>14</v>
      </c>
    </row>
    <row r="26" spans="1:45" ht="63" customHeight="1">
      <c r="Q26" s="313"/>
      <c r="R26" s="313"/>
      <c r="S26" s="246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67"/>
      <c r="U26" s="2467"/>
      <c r="V26" s="2467"/>
      <c r="W26" s="2467"/>
      <c r="X26" s="2467"/>
      <c r="Y26" s="2467"/>
      <c r="Z26" s="2467"/>
      <c r="AA26" s="2467"/>
      <c r="AB26" s="2467"/>
      <c r="AC26" s="2467"/>
      <c r="AD26" s="2467"/>
      <c r="AE26" s="2467"/>
      <c r="AF26" s="2467"/>
      <c r="AG26" s="2467"/>
      <c r="AH26" s="2467"/>
      <c r="AI26" s="2467"/>
      <c r="AJ26" s="2467"/>
      <c r="AK26" s="1162"/>
      <c r="AS26" s="1074">
        <v>60</v>
      </c>
    </row>
    <row r="27" spans="1:45" ht="14.65" customHeight="1">
      <c r="Q27" s="313"/>
      <c r="R27" s="313"/>
      <c r="S27" s="2412" t="str">
        <f>IF(org=0,"Не определено",org)</f>
        <v>МУП "Водоканал"</v>
      </c>
      <c r="T27" s="2412"/>
      <c r="U27" s="2412"/>
      <c r="V27" s="2412"/>
      <c r="W27" s="2412"/>
      <c r="X27" s="2412"/>
      <c r="Y27" s="2412"/>
      <c r="Z27" s="2412"/>
      <c r="AA27" s="2412"/>
      <c r="AB27" s="2412"/>
      <c r="AC27" s="2412"/>
      <c r="AD27" s="2412"/>
      <c r="AE27" s="2412"/>
      <c r="AF27" s="2412"/>
      <c r="AG27" s="2412"/>
      <c r="AH27" s="2412"/>
      <c r="AI27" s="2412"/>
      <c r="AJ27" s="2412"/>
      <c r="AK27" s="1162"/>
      <c r="AS27" s="1074">
        <v>14</v>
      </c>
    </row>
    <row r="28" spans="1:45" ht="14.25" hidden="1" customHeight="1">
      <c r="Q28" s="313"/>
      <c r="R28" s="313"/>
      <c r="S28" s="1194"/>
      <c r="T28" s="300"/>
      <c r="U28" s="300"/>
      <c r="V28" s="259"/>
      <c r="W28" s="259"/>
      <c r="X28" s="259"/>
      <c r="Y28" s="259"/>
      <c r="Z28" s="259"/>
      <c r="AA28" s="259"/>
      <c r="AB28" s="259"/>
      <c r="AC28" s="259"/>
      <c r="AD28" s="259"/>
      <c r="AE28" s="259"/>
      <c r="AF28" s="259"/>
      <c r="AG28" s="259"/>
      <c r="AH28" s="259"/>
      <c r="AI28" s="259"/>
      <c r="AJ28" s="259"/>
      <c r="AK28" s="259"/>
      <c r="AL28" s="446"/>
      <c r="AS28" s="1074">
        <v>0</v>
      </c>
    </row>
    <row r="29" spans="1:45" s="2254" customFormat="1" ht="25.5" hidden="1" customHeight="1">
      <c r="A29" s="1287"/>
      <c r="B29" s="1287"/>
      <c r="C29" s="1287"/>
      <c r="D29" s="1287"/>
      <c r="E29" s="1287"/>
      <c r="F29" s="1287"/>
      <c r="G29" s="1287"/>
      <c r="H29" s="1287"/>
      <c r="I29" s="1287"/>
      <c r="J29" s="1287"/>
      <c r="K29" s="1287"/>
      <c r="L29" s="1288"/>
      <c r="M29" s="1287"/>
      <c r="N29" s="1287"/>
      <c r="O29" s="1287"/>
      <c r="S29" s="2475" t="s">
        <v>41</v>
      </c>
      <c r="T29" s="2475"/>
      <c r="U29" s="1291"/>
      <c r="V29" s="2476" t="str">
        <f>IF(TITLE_NAME_OR_PR_CHANGE="",IF(TITLE_NAME_OR_PR="","",TITLE_NAME_OR_PR),TITLE_NAME_OR_PR_CHANGE)</f>
        <v/>
      </c>
      <c r="W29" s="2476"/>
      <c r="X29" s="2476"/>
      <c r="Y29" s="2476"/>
      <c r="Z29" s="2476"/>
      <c r="AA29" s="2476"/>
      <c r="AB29" s="2476"/>
      <c r="AC29" s="263"/>
      <c r="AD29" s="2476" t="str">
        <f>IF(TITLE_NAME_OR_PR_CHANGE="",IF(TITLE_NAME_OR_PR="","",TITLE_NAME_OR_PR),TITLE_NAME_OR_PR_CHANGE)</f>
        <v/>
      </c>
      <c r="AE29" s="2476"/>
      <c r="AF29" s="2476"/>
      <c r="AG29" s="2476"/>
      <c r="AH29" s="2476"/>
      <c r="AI29" s="2476"/>
      <c r="AJ29" s="2476"/>
      <c r="AK29" s="263"/>
      <c r="AL29" s="263"/>
      <c r="AM29" s="217"/>
      <c r="AN29" s="305"/>
      <c r="AO29" s="305"/>
      <c r="AP29" s="305"/>
      <c r="AQ29" s="305"/>
      <c r="AR29" s="305"/>
      <c r="AS29" s="355">
        <v>0</v>
      </c>
    </row>
    <row r="30" spans="1:45" s="2254" customFormat="1" ht="18.75" hidden="1" customHeight="1">
      <c r="A30" s="1287"/>
      <c r="B30" s="1287"/>
      <c r="C30" s="1287"/>
      <c r="D30" s="1287"/>
      <c r="E30" s="1287"/>
      <c r="F30" s="1287"/>
      <c r="G30" s="1287"/>
      <c r="H30" s="1287"/>
      <c r="I30" s="1287"/>
      <c r="J30" s="1287"/>
      <c r="K30" s="1287"/>
      <c r="L30" s="1288"/>
      <c r="M30" s="1287"/>
      <c r="N30" s="1287"/>
      <c r="O30" s="1287"/>
      <c r="S30" s="2475" t="s">
        <v>421</v>
      </c>
      <c r="T30" s="2475"/>
      <c r="U30" s="1291"/>
      <c r="V30" s="2485" t="str">
        <f>IF(TITLE_DATE_PR_CHANGE="",IF(TITLE_DATE_PR="","",TITLE_DATE_PR),TITLE_DATE_PR_CHANGE)</f>
        <v/>
      </c>
      <c r="W30" s="2485"/>
      <c r="X30" s="2485"/>
      <c r="Y30" s="2485"/>
      <c r="Z30" s="2485"/>
      <c r="AA30" s="2485"/>
      <c r="AB30" s="2485"/>
      <c r="AC30" s="263"/>
      <c r="AD30" s="2485" t="str">
        <f>IF(TITLE_DATE_PR_CHANGE="",IF(TITLE_DATE_PR="","",TITLE_DATE_PR),TITLE_DATE_PR_CHANGE)</f>
        <v/>
      </c>
      <c r="AE30" s="2485"/>
      <c r="AF30" s="2485"/>
      <c r="AG30" s="2485"/>
      <c r="AH30" s="2485"/>
      <c r="AI30" s="2485"/>
      <c r="AJ30" s="2485"/>
      <c r="AK30" s="263"/>
      <c r="AL30" s="263"/>
      <c r="AM30" s="217"/>
      <c r="AN30" s="305"/>
      <c r="AO30" s="305"/>
      <c r="AP30" s="305"/>
      <c r="AQ30" s="305"/>
      <c r="AR30" s="305"/>
      <c r="AS30" s="355">
        <v>0</v>
      </c>
    </row>
    <row r="31" spans="1:45" s="2254" customFormat="1" ht="18.75" hidden="1" customHeight="1">
      <c r="A31" s="1287"/>
      <c r="B31" s="1287"/>
      <c r="C31" s="1287"/>
      <c r="D31" s="1287"/>
      <c r="E31" s="1287"/>
      <c r="F31" s="1287"/>
      <c r="G31" s="1287"/>
      <c r="H31" s="1287"/>
      <c r="I31" s="1287"/>
      <c r="J31" s="1287"/>
      <c r="K31" s="1287"/>
      <c r="L31" s="1288"/>
      <c r="M31" s="1287"/>
      <c r="N31" s="1287"/>
      <c r="O31" s="1287"/>
      <c r="S31" s="2475" t="s">
        <v>422</v>
      </c>
      <c r="T31" s="2475"/>
      <c r="U31" s="1291"/>
      <c r="V31" s="2476" t="str">
        <f>IF(TITLE_NUMBER_PR_CHANGE="",IF(TITLE_NUMBER_PR="","",TITLE_NUMBER_PR),TITLE_NUMBER_PR_CHANGE)</f>
        <v/>
      </c>
      <c r="W31" s="2476"/>
      <c r="X31" s="2476"/>
      <c r="Y31" s="2476"/>
      <c r="Z31" s="2476"/>
      <c r="AA31" s="2476"/>
      <c r="AB31" s="2476"/>
      <c r="AC31" s="263"/>
      <c r="AD31" s="2476" t="str">
        <f>IF(TITLE_NUMBER_PR_CHANGE="",IF(TITLE_NUMBER_PR="","",TITLE_NUMBER_PR),TITLE_NUMBER_PR_CHANGE)</f>
        <v/>
      </c>
      <c r="AE31" s="2476"/>
      <c r="AF31" s="2476"/>
      <c r="AG31" s="2476"/>
      <c r="AH31" s="2476"/>
      <c r="AI31" s="2476"/>
      <c r="AJ31" s="2476"/>
      <c r="AK31" s="263"/>
      <c r="AL31" s="263"/>
      <c r="AM31" s="217"/>
      <c r="AN31" s="305"/>
      <c r="AO31" s="305"/>
      <c r="AP31" s="305"/>
      <c r="AQ31" s="305"/>
      <c r="AR31" s="305"/>
      <c r="AS31" s="355">
        <v>0</v>
      </c>
    </row>
    <row r="32" spans="1:45" s="2254" customFormat="1" ht="18.75" hidden="1" customHeight="1">
      <c r="A32" s="1287"/>
      <c r="B32" s="1287"/>
      <c r="C32" s="1287"/>
      <c r="D32" s="1287"/>
      <c r="E32" s="1287"/>
      <c r="F32" s="1287"/>
      <c r="G32" s="1287"/>
      <c r="H32" s="1287"/>
      <c r="I32" s="1287"/>
      <c r="J32" s="1287"/>
      <c r="K32" s="1287"/>
      <c r="L32" s="1288"/>
      <c r="M32" s="1287"/>
      <c r="N32" s="1287"/>
      <c r="O32" s="1287"/>
      <c r="S32" s="2475" t="s">
        <v>42</v>
      </c>
      <c r="T32" s="2475"/>
      <c r="U32" s="1291"/>
      <c r="V32" s="2476" t="str">
        <f>IF(TITLE_IST_PUB_CHANGE="",IF(TITLE_IST_PUB="","",TITLE_IST_PUB),TITLE_IST_PUB_CHANGE)</f>
        <v/>
      </c>
      <c r="W32" s="2476"/>
      <c r="X32" s="2476"/>
      <c r="Y32" s="2476"/>
      <c r="Z32" s="2476"/>
      <c r="AA32" s="2476"/>
      <c r="AB32" s="2476"/>
      <c r="AC32" s="263"/>
      <c r="AD32" s="2476" t="str">
        <f>IF(TITLE_IST_PUB_CHANGE="",IF(TITLE_IST_PUB="","",TITLE_IST_PUB),TITLE_IST_PUB_CHANGE)</f>
        <v/>
      </c>
      <c r="AE32" s="2476"/>
      <c r="AF32" s="2476"/>
      <c r="AG32" s="2476"/>
      <c r="AH32" s="2476"/>
      <c r="AI32" s="2476"/>
      <c r="AJ32" s="2476"/>
      <c r="AK32" s="263"/>
      <c r="AL32" s="263"/>
      <c r="AM32" s="217"/>
      <c r="AN32" s="305"/>
      <c r="AO32" s="305"/>
      <c r="AP32" s="305"/>
      <c r="AQ32" s="305"/>
      <c r="AR32" s="305"/>
      <c r="AS32" s="355">
        <v>0</v>
      </c>
    </row>
    <row r="33" spans="1:45" ht="14.25" hidden="1" customHeight="1">
      <c r="Q33" s="313"/>
      <c r="R33" s="313"/>
      <c r="S33" s="1194"/>
      <c r="T33" s="300"/>
      <c r="U33" s="300"/>
      <c r="V33" s="259"/>
      <c r="W33" s="259"/>
      <c r="X33" s="259"/>
      <c r="Y33" s="259"/>
      <c r="Z33" s="259"/>
      <c r="AA33" s="259"/>
      <c r="AB33" s="259"/>
      <c r="AC33" s="259"/>
      <c r="AD33" s="259"/>
      <c r="AE33" s="259"/>
      <c r="AF33" s="259"/>
      <c r="AG33" s="259"/>
      <c r="AH33" s="259"/>
      <c r="AI33" s="259"/>
      <c r="AJ33" s="259"/>
      <c r="AK33" s="259"/>
      <c r="AL33" s="446"/>
      <c r="AS33" s="1074">
        <v>0</v>
      </c>
    </row>
    <row r="34" spans="1:45" s="2254" customFormat="1" ht="18.75" hidden="1" customHeight="1">
      <c r="A34" s="1287"/>
      <c r="B34" s="1287"/>
      <c r="C34" s="1287"/>
      <c r="D34" s="1287"/>
      <c r="E34" s="1287"/>
      <c r="F34" s="1287"/>
      <c r="G34" s="1287"/>
      <c r="H34" s="1287"/>
      <c r="I34" s="1287"/>
      <c r="J34" s="1287"/>
      <c r="K34" s="1287"/>
      <c r="L34" s="1288"/>
      <c r="M34" s="1287"/>
      <c r="N34" s="1287"/>
      <c r="O34" s="1287"/>
      <c r="S34" s="2475" t="s">
        <v>423</v>
      </c>
      <c r="T34" s="2475"/>
      <c r="U34" s="1291"/>
      <c r="V34" s="2485" t="str">
        <f>IF(TITLE_DATE_PR_CHANGE="",IF(TITLE_DATE_PR="","",TITLE_DATE_PR),TITLE_DATE_PR_CHANGE)</f>
        <v/>
      </c>
      <c r="W34" s="2485"/>
      <c r="X34" s="2485"/>
      <c r="Y34" s="2485"/>
      <c r="Z34" s="2485"/>
      <c r="AA34" s="2485"/>
      <c r="AB34" s="2485"/>
      <c r="AC34" s="263"/>
      <c r="AD34" s="2485" t="str">
        <f>IF(TITLE_DATE_PR_CHANGE="",IF(TITLE_DATE_PR="","",TITLE_DATE_PR),TITLE_DATE_PR_CHANGE)</f>
        <v/>
      </c>
      <c r="AE34" s="2485"/>
      <c r="AF34" s="2485"/>
      <c r="AG34" s="2485"/>
      <c r="AH34" s="2485"/>
      <c r="AI34" s="2485"/>
      <c r="AJ34" s="2485"/>
      <c r="AK34" s="263"/>
      <c r="AL34" s="263"/>
      <c r="AM34" s="217"/>
      <c r="AN34" s="305"/>
      <c r="AO34" s="305"/>
      <c r="AP34" s="305"/>
      <c r="AQ34" s="305"/>
      <c r="AR34" s="305"/>
      <c r="AS34" s="355">
        <v>0</v>
      </c>
    </row>
    <row r="35" spans="1:45" s="2254" customFormat="1" ht="18.75" hidden="1" customHeight="1">
      <c r="A35" s="1287"/>
      <c r="B35" s="1287"/>
      <c r="C35" s="1287"/>
      <c r="D35" s="1287"/>
      <c r="E35" s="1287"/>
      <c r="F35" s="1287"/>
      <c r="G35" s="1287"/>
      <c r="H35" s="1287"/>
      <c r="I35" s="1287"/>
      <c r="J35" s="1287"/>
      <c r="K35" s="1287"/>
      <c r="L35" s="1288"/>
      <c r="M35" s="1287"/>
      <c r="N35" s="1287"/>
      <c r="O35" s="1287"/>
      <c r="S35" s="2475" t="s">
        <v>424</v>
      </c>
      <c r="T35" s="2475"/>
      <c r="U35" s="1291"/>
      <c r="V35" s="2476" t="str">
        <f>IF(TITLE_NUMBER_PR_CHANGE="",IF(TITLE_NUMBER_PR="","",TITLE_NUMBER_PR),TITLE_NUMBER_PR_CHANGE)</f>
        <v/>
      </c>
      <c r="W35" s="2476"/>
      <c r="X35" s="2476"/>
      <c r="Y35" s="2476"/>
      <c r="Z35" s="2476"/>
      <c r="AA35" s="2476"/>
      <c r="AB35" s="2476"/>
      <c r="AC35" s="263"/>
      <c r="AD35" s="2476" t="str">
        <f>IF(TITLE_NUMBER_PR_CHANGE="",IF(TITLE_NUMBER_PR="","",TITLE_NUMBER_PR),TITLE_NUMBER_PR_CHANGE)</f>
        <v/>
      </c>
      <c r="AE35" s="2476"/>
      <c r="AF35" s="2476"/>
      <c r="AG35" s="2476"/>
      <c r="AH35" s="2476"/>
      <c r="AI35" s="2476"/>
      <c r="AJ35" s="2476"/>
      <c r="AK35" s="263"/>
      <c r="AL35" s="263"/>
      <c r="AM35" s="217"/>
      <c r="AN35" s="305"/>
      <c r="AO35" s="305"/>
      <c r="AP35" s="305"/>
      <c r="AQ35" s="305"/>
      <c r="AR35" s="305"/>
      <c r="AS35" s="355">
        <v>0</v>
      </c>
    </row>
    <row r="36" spans="1:45" s="2254"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194"/>
      <c r="T37" s="300"/>
      <c r="U37" s="1163"/>
      <c r="V37" s="2477"/>
      <c r="W37" s="2477"/>
      <c r="X37" s="2477"/>
      <c r="Y37" s="2477"/>
      <c r="Z37" s="2477"/>
      <c r="AA37" s="2477"/>
      <c r="AB37" s="2477"/>
      <c r="AC37" s="2477"/>
      <c r="AD37" s="2477"/>
      <c r="AE37" s="2477"/>
      <c r="AF37" s="2477"/>
      <c r="AG37" s="2477"/>
      <c r="AH37" s="2477"/>
      <c r="AI37" s="2477"/>
      <c r="AJ37" s="2477"/>
      <c r="AK37" s="2477"/>
      <c r="AS37" s="1074">
        <v>14</v>
      </c>
    </row>
    <row r="38" spans="1:45" ht="14.65" customHeight="1">
      <c r="Q38" s="313"/>
      <c r="R38" s="313"/>
      <c r="S38" s="2363" t="s">
        <v>298</v>
      </c>
      <c r="T38" s="2363"/>
      <c r="U38" s="2363"/>
      <c r="V38" s="2363"/>
      <c r="W38" s="2363"/>
      <c r="X38" s="2363"/>
      <c r="Y38" s="2363"/>
      <c r="Z38" s="2363"/>
      <c r="AA38" s="2363"/>
      <c r="AB38" s="2363"/>
      <c r="AC38" s="2363"/>
      <c r="AD38" s="2363"/>
      <c r="AE38" s="2363"/>
      <c r="AF38" s="2363"/>
      <c r="AG38" s="2363"/>
      <c r="AH38" s="2363"/>
      <c r="AI38" s="2363"/>
      <c r="AJ38" s="2363"/>
      <c r="AK38" s="2363"/>
      <c r="AL38" s="2363"/>
      <c r="AM38" s="2363" t="s">
        <v>299</v>
      </c>
      <c r="AS38" s="1074">
        <v>14</v>
      </c>
    </row>
    <row r="39" spans="1:45" ht="14.65" customHeight="1">
      <c r="Q39" s="313"/>
      <c r="R39" s="313"/>
      <c r="S39" s="2491" t="s">
        <v>87</v>
      </c>
      <c r="T39" s="2442" t="s">
        <v>426</v>
      </c>
      <c r="U39" s="238"/>
      <c r="V39" s="2492" t="s">
        <v>427</v>
      </c>
      <c r="W39" s="2493"/>
      <c r="X39" s="2493"/>
      <c r="Y39" s="2493"/>
      <c r="Z39" s="2493"/>
      <c r="AA39" s="2493"/>
      <c r="AB39" s="2494"/>
      <c r="AC39" s="2495" t="s">
        <v>428</v>
      </c>
      <c r="AD39" s="2492" t="s">
        <v>427</v>
      </c>
      <c r="AE39" s="2493"/>
      <c r="AF39" s="2493"/>
      <c r="AG39" s="2493"/>
      <c r="AH39" s="2493"/>
      <c r="AI39" s="2493"/>
      <c r="AJ39" s="2494"/>
      <c r="AK39" s="2495" t="s">
        <v>429</v>
      </c>
      <c r="AL39" s="2498" t="s">
        <v>430</v>
      </c>
      <c r="AM39" s="2363"/>
      <c r="AS39" s="1074">
        <v>14</v>
      </c>
    </row>
    <row r="40" spans="1:45" ht="35.65" customHeight="1">
      <c r="Q40" s="313"/>
      <c r="R40" s="313"/>
      <c r="S40" s="2491"/>
      <c r="T40" s="2442"/>
      <c r="U40" s="955"/>
      <c r="V40" s="2411" t="s">
        <v>431</v>
      </c>
      <c r="W40" s="2501"/>
      <c r="X40" s="2335" t="s">
        <v>433</v>
      </c>
      <c r="Y40" s="2334"/>
      <c r="Z40" s="2335" t="s">
        <v>434</v>
      </c>
      <c r="AA40" s="2340"/>
      <c r="AB40" s="2334"/>
      <c r="AC40" s="2496"/>
      <c r="AD40" s="2411" t="s">
        <v>448</v>
      </c>
      <c r="AE40" s="2501"/>
      <c r="AF40" s="2335" t="s">
        <v>433</v>
      </c>
      <c r="AG40" s="2334"/>
      <c r="AH40" s="2335" t="s">
        <v>434</v>
      </c>
      <c r="AI40" s="2340"/>
      <c r="AJ40" s="2334"/>
      <c r="AK40" s="2496"/>
      <c r="AL40" s="2499"/>
      <c r="AM40" s="2363"/>
      <c r="AS40" s="1074">
        <v>34</v>
      </c>
    </row>
    <row r="41" spans="1:45" ht="35.65" customHeight="1">
      <c r="A41" s="1289"/>
      <c r="B41" s="1289" t="s">
        <v>135</v>
      </c>
      <c r="C41" s="1289" t="s">
        <v>136</v>
      </c>
      <c r="D41" s="1289" t="s">
        <v>137</v>
      </c>
      <c r="E41" s="1283" t="s">
        <v>435</v>
      </c>
      <c r="F41" s="1283" t="s">
        <v>436</v>
      </c>
      <c r="G41" s="1283" t="s">
        <v>437</v>
      </c>
      <c r="H41" s="1283" t="s">
        <v>438</v>
      </c>
      <c r="I41" s="1283" t="s">
        <v>439</v>
      </c>
      <c r="J41" s="1283" t="s">
        <v>440</v>
      </c>
      <c r="K41" s="1283" t="s">
        <v>441</v>
      </c>
      <c r="L41" s="1283" t="s">
        <v>416</v>
      </c>
      <c r="Q41" s="313"/>
      <c r="R41" s="313"/>
      <c r="S41" s="2491"/>
      <c r="T41" s="2442"/>
      <c r="U41" s="239"/>
      <c r="V41" s="2462"/>
      <c r="W41" s="2502"/>
      <c r="X41" s="1141" t="s">
        <v>442</v>
      </c>
      <c r="Y41" s="1141" t="s">
        <v>443</v>
      </c>
      <c r="Z41" s="1257" t="s">
        <v>444</v>
      </c>
      <c r="AA41" s="2451" t="s">
        <v>445</v>
      </c>
      <c r="AB41" s="2453"/>
      <c r="AC41" s="2497"/>
      <c r="AD41" s="2462"/>
      <c r="AE41" s="2502"/>
      <c r="AF41" s="1141" t="s">
        <v>442</v>
      </c>
      <c r="AG41" s="1141" t="s">
        <v>443</v>
      </c>
      <c r="AH41" s="1257" t="s">
        <v>444</v>
      </c>
      <c r="AI41" s="2451" t="s">
        <v>445</v>
      </c>
      <c r="AJ41" s="2453"/>
      <c r="AK41" s="2497"/>
      <c r="AL41" s="2500"/>
      <c r="AM41" s="2363"/>
      <c r="AS41" s="1074">
        <v>34</v>
      </c>
    </row>
    <row r="42" spans="1:45" s="2269"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108</v>
      </c>
      <c r="T42" s="1174" t="s">
        <v>109</v>
      </c>
      <c r="U42" s="1164" t="str">
        <f ca="1">OFFSET(U42,0,-1)</f>
        <v>2</v>
      </c>
      <c r="V42" s="1254">
        <f ca="1">OFFSET(V42,0,-1)+1</f>
        <v>3</v>
      </c>
      <c r="W42" s="1254"/>
      <c r="X42" s="1254">
        <f ca="1">OFFSET(X42,0,-1)+1</f>
        <v>1</v>
      </c>
      <c r="Y42" s="1254">
        <f ca="1">OFFSET(Y42,0,-1)+1</f>
        <v>2</v>
      </c>
      <c r="Z42" s="1254">
        <f ca="1">OFFSET(Z42,0,-1)+1</f>
        <v>3</v>
      </c>
      <c r="AA42" s="2490">
        <f ca="1">OFFSET(AA42,0,-1)+1</f>
        <v>4</v>
      </c>
      <c r="AB42" s="2490"/>
      <c r="AC42" s="1254">
        <f ca="1">OFFSET(AC42,0,-2)+1</f>
        <v>5</v>
      </c>
      <c r="AD42" s="1254">
        <f ca="1">OFFSET(AD42,0,-1)+1</f>
        <v>6</v>
      </c>
      <c r="AE42" s="1254"/>
      <c r="AF42" s="1254">
        <f ca="1">OFFSET(AF42,0,-1)+1</f>
        <v>1</v>
      </c>
      <c r="AG42" s="1254">
        <f ca="1">OFFSET(AG42,0,-1)+1</f>
        <v>2</v>
      </c>
      <c r="AH42" s="1254">
        <f ca="1">OFFSET(AH42,0,-1)+1</f>
        <v>3</v>
      </c>
      <c r="AI42" s="2490">
        <f ca="1">OFFSET(AI42,0,-1)+1</f>
        <v>4</v>
      </c>
      <c r="AJ42" s="2490"/>
      <c r="AK42" s="1254">
        <f ca="1">OFFSET(AK42,0,-2)+1</f>
        <v>5</v>
      </c>
      <c r="AL42" s="1164">
        <f ca="1">OFFSET(AL42,0,-1)</f>
        <v>5</v>
      </c>
      <c r="AM42" s="1254">
        <f ca="1">OFFSET(AM42,0,-1)+1</f>
        <v>6</v>
      </c>
      <c r="AN42" s="448"/>
      <c r="AO42" s="448"/>
      <c r="AP42" s="448"/>
      <c r="AQ42" s="448"/>
      <c r="AR42" s="448"/>
      <c r="AS42" s="433">
        <v>0</v>
      </c>
    </row>
    <row r="43" spans="1:45" ht="21.95" customHeight="1">
      <c r="A43" s="1282" t="s">
        <v>168</v>
      </c>
      <c r="B43" s="1282"/>
      <c r="C43" s="1282"/>
      <c r="D43" s="1282"/>
      <c r="E43" s="2483">
        <v>1</v>
      </c>
      <c r="F43" s="1282"/>
      <c r="G43" s="1282"/>
      <c r="H43" s="1282"/>
      <c r="I43" s="1282"/>
      <c r="J43" s="1282"/>
      <c r="K43" s="1282"/>
      <c r="L43" s="1283"/>
      <c r="M43" s="1284"/>
      <c r="N43" s="1284"/>
      <c r="O43" s="1284"/>
      <c r="P43" s="298"/>
      <c r="Q43" s="297"/>
      <c r="R43" s="292"/>
      <c r="S43" s="1255">
        <f>INDEX(PT_DIFFERENTIATION_NUM_NTAR,MATCH(A43,PT_DIFFERENTIATION_NTAR_ID,0))</f>
        <v>0</v>
      </c>
      <c r="T43" s="235" t="s">
        <v>123</v>
      </c>
      <c r="U43" s="237"/>
      <c r="V43" s="2469"/>
      <c r="W43" s="2470"/>
      <c r="X43" s="2470"/>
      <c r="Y43" s="2470"/>
      <c r="Z43" s="2470"/>
      <c r="AA43" s="2470"/>
      <c r="AB43" s="2470"/>
      <c r="AC43" s="2471"/>
      <c r="AD43" s="2469" t="str">
        <f>INDEX(PT_DIFFERENTIATION_NTAR,MATCH(A43,PT_DIFFERENTIATION_NTAR_ID,0))</f>
        <v/>
      </c>
      <c r="AE43" s="2470"/>
      <c r="AF43" s="2470"/>
      <c r="AG43" s="2470"/>
      <c r="AH43" s="2470"/>
      <c r="AI43" s="2470"/>
      <c r="AJ43" s="2470"/>
      <c r="AK43" s="2470"/>
      <c r="AL43" s="2471"/>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4">
        <v>21</v>
      </c>
    </row>
    <row r="44" spans="1:45" ht="21.95" customHeight="1">
      <c r="A44" s="1282" t="s">
        <v>168</v>
      </c>
      <c r="B44" s="1282" t="s">
        <v>169</v>
      </c>
      <c r="C44" s="1282"/>
      <c r="D44" s="1282"/>
      <c r="E44" s="2484"/>
      <c r="F44" s="2483">
        <v>1</v>
      </c>
      <c r="G44" s="1282"/>
      <c r="H44" s="1282"/>
      <c r="I44" s="1282"/>
      <c r="J44" s="1282"/>
      <c r="K44" s="1282"/>
      <c r="L44" s="1283"/>
      <c r="M44" s="1284"/>
      <c r="N44" s="1284"/>
      <c r="O44" s="1284"/>
      <c r="P44" s="1251"/>
      <c r="Q44" s="289"/>
      <c r="R44" s="290"/>
      <c r="S44" s="1255" t="str">
        <f>INDEX(PT_DIFFERENTIATION_NUM_TER,MATCH(B44,PT_DIFFERENTIATION_TER_ID,0))</f>
        <v>.</v>
      </c>
      <c r="T44" s="245" t="s">
        <v>395</v>
      </c>
      <c r="U44" s="237"/>
      <c r="V44" s="2469"/>
      <c r="W44" s="2470"/>
      <c r="X44" s="2470"/>
      <c r="Y44" s="2470"/>
      <c r="Z44" s="2470"/>
      <c r="AA44" s="2470"/>
      <c r="AB44" s="2470"/>
      <c r="AC44" s="2471"/>
      <c r="AD44" s="2469" t="str">
        <f>INDEX(PT_DIFFERENTIATION_TER,MATCH(B44,PT_DIFFERENTIATION_TER_ID,0))</f>
        <v/>
      </c>
      <c r="AE44" s="2470"/>
      <c r="AF44" s="2470"/>
      <c r="AG44" s="2470"/>
      <c r="AH44" s="2470"/>
      <c r="AI44" s="2470"/>
      <c r="AJ44" s="2470"/>
      <c r="AK44" s="2470"/>
      <c r="AL44" s="2471"/>
      <c r="AM44" s="1177" t="s">
        <v>396</v>
      </c>
      <c r="AO44" s="437"/>
      <c r="AP44" s="437" t="str">
        <f t="shared" si="1"/>
        <v>Территория действия тарифа</v>
      </c>
      <c r="AQ44" s="437"/>
      <c r="AR44" s="437"/>
      <c r="AS44" s="1074">
        <v>21</v>
      </c>
    </row>
    <row r="45" spans="1:45" ht="24" customHeight="1">
      <c r="A45" s="1282" t="s">
        <v>168</v>
      </c>
      <c r="B45" s="1282" t="s">
        <v>169</v>
      </c>
      <c r="C45" s="1282" t="s">
        <v>170</v>
      </c>
      <c r="D45" s="1282"/>
      <c r="E45" s="2484"/>
      <c r="F45" s="2484"/>
      <c r="G45" s="2483">
        <v>1</v>
      </c>
      <c r="H45" s="1282"/>
      <c r="I45" s="1282"/>
      <c r="J45" s="1282"/>
      <c r="K45" s="1282"/>
      <c r="L45" s="1283"/>
      <c r="M45" s="1284"/>
      <c r="N45" s="1284"/>
      <c r="O45" s="1284"/>
      <c r="P45" s="291"/>
      <c r="Q45" s="289"/>
      <c r="R45" s="290"/>
      <c r="S45" s="1255" t="str">
        <f>INDEX(PT_DIFFERENTIATION_NUM_CS,MATCH(C45,PT_DIFFERENTIATION_CS_ID,0))</f>
        <v>..</v>
      </c>
      <c r="T45" s="246" t="s">
        <v>397</v>
      </c>
      <c r="U45" s="237"/>
      <c r="V45" s="2469"/>
      <c r="W45" s="2470"/>
      <c r="X45" s="2470"/>
      <c r="Y45" s="2470"/>
      <c r="Z45" s="2470"/>
      <c r="AA45" s="2470"/>
      <c r="AB45" s="2470"/>
      <c r="AC45" s="2471"/>
      <c r="AD45" s="2469" t="str">
        <f>INDEX(PT_DIFFERENTIATION_CS,MATCH(C45,PT_DIFFERENTIATION_CS_ID,0))</f>
        <v/>
      </c>
      <c r="AE45" s="2470"/>
      <c r="AF45" s="2470"/>
      <c r="AG45" s="2470"/>
      <c r="AH45" s="2470"/>
      <c r="AI45" s="2470"/>
      <c r="AJ45" s="2470"/>
      <c r="AK45" s="2470"/>
      <c r="AL45" s="2471"/>
      <c r="AM45" s="1177" t="s">
        <v>398</v>
      </c>
      <c r="AO45" s="437"/>
      <c r="AP45" s="437" t="str">
        <f t="shared" si="1"/>
        <v xml:space="preserve">Наименование системы теплоснабжения </v>
      </c>
      <c r="AQ45" s="437"/>
      <c r="AR45" s="437"/>
      <c r="AS45" s="1074">
        <v>23</v>
      </c>
    </row>
    <row r="46" spans="1:45" ht="21.95" customHeight="1">
      <c r="A46" s="1282" t="s">
        <v>168</v>
      </c>
      <c r="B46" s="1282" t="s">
        <v>169</v>
      </c>
      <c r="C46" s="1282" t="s">
        <v>170</v>
      </c>
      <c r="D46" s="1282" t="s">
        <v>171</v>
      </c>
      <c r="E46" s="2484"/>
      <c r="F46" s="2484"/>
      <c r="G46" s="2484"/>
      <c r="H46" s="2483">
        <v>1</v>
      </c>
      <c r="I46" s="1282"/>
      <c r="J46" s="1282"/>
      <c r="K46" s="1282"/>
      <c r="L46" s="1283"/>
      <c r="M46" s="1284"/>
      <c r="N46" s="1284"/>
      <c r="O46" s="1284"/>
      <c r="P46" s="291"/>
      <c r="Q46" s="289"/>
      <c r="R46" s="290"/>
      <c r="S46" s="1255" t="str">
        <f>INDEX(PT_DIFFERENTIATION_NUM_IST_TE,MATCH(D46,PT_DIFFERENTIATION_IST_TE_ID,0))</f>
        <v>...</v>
      </c>
      <c r="T46" s="247" t="s">
        <v>399</v>
      </c>
      <c r="U46" s="237"/>
      <c r="V46" s="2469"/>
      <c r="W46" s="2470"/>
      <c r="X46" s="2470"/>
      <c r="Y46" s="2470"/>
      <c r="Z46" s="2470"/>
      <c r="AA46" s="2470"/>
      <c r="AB46" s="2470"/>
      <c r="AC46" s="2471"/>
      <c r="AD46" s="2469" t="str">
        <f>INDEX(PT_DIFFERENTIATION_IST_TE,MATCH(D46,PT_DIFFERENTIATION_IST_TE_ID,0))</f>
        <v/>
      </c>
      <c r="AE46" s="2470"/>
      <c r="AF46" s="2470"/>
      <c r="AG46" s="2470"/>
      <c r="AH46" s="2470"/>
      <c r="AI46" s="2470"/>
      <c r="AJ46" s="2470"/>
      <c r="AK46" s="2470"/>
      <c r="AL46" s="2471"/>
      <c r="AM46" s="1177" t="s">
        <v>400</v>
      </c>
      <c r="AO46" s="437"/>
      <c r="AP46" s="437" t="str">
        <f t="shared" si="1"/>
        <v xml:space="preserve">Источник тепловой энергии  </v>
      </c>
      <c r="AQ46" s="437"/>
      <c r="AR46" s="437"/>
      <c r="AS46" s="1074">
        <v>21</v>
      </c>
    </row>
    <row r="47" spans="1:45" s="2245" customFormat="1" ht="0" hidden="1" customHeight="1">
      <c r="A47" s="1262" t="s">
        <v>168</v>
      </c>
      <c r="B47" s="1262" t="s">
        <v>169</v>
      </c>
      <c r="C47" s="1262" t="s">
        <v>170</v>
      </c>
      <c r="D47" s="1262" t="s">
        <v>171</v>
      </c>
      <c r="E47" s="2484"/>
      <c r="F47" s="2484"/>
      <c r="G47" s="2484"/>
      <c r="H47" s="2484"/>
      <c r="I47" s="2481" t="str">
        <f>S46&amp;".1"</f>
        <v>....1</v>
      </c>
      <c r="J47" s="1262"/>
      <c r="K47" s="1262"/>
      <c r="L47" s="1265" t="s">
        <v>401</v>
      </c>
      <c r="M47" s="447"/>
      <c r="N47" s="447"/>
      <c r="O47" s="447"/>
      <c r="P47" s="2482">
        <v>1</v>
      </c>
      <c r="Q47" s="1250"/>
      <c r="R47" s="293"/>
      <c r="S47" s="966"/>
      <c r="T47" s="1302"/>
      <c r="U47" s="1303"/>
      <c r="V47" s="2512"/>
      <c r="W47" s="2513"/>
      <c r="X47" s="2513"/>
      <c r="Y47" s="2513"/>
      <c r="Z47" s="2513"/>
      <c r="AA47" s="2513"/>
      <c r="AB47" s="2513"/>
      <c r="AC47" s="2514"/>
      <c r="AD47" s="2512"/>
      <c r="AE47" s="2513"/>
      <c r="AF47" s="2513"/>
      <c r="AG47" s="2513"/>
      <c r="AH47" s="2513"/>
      <c r="AI47" s="2513"/>
      <c r="AJ47" s="2513"/>
      <c r="AK47" s="2513"/>
      <c r="AL47" s="2514"/>
      <c r="AM47" s="1304"/>
      <c r="AO47" s="437"/>
      <c r="AP47" s="437" t="str">
        <f t="shared" si="1"/>
        <v/>
      </c>
      <c r="AQ47" s="437"/>
      <c r="AR47" s="437"/>
      <c r="AS47" s="448">
        <v>0</v>
      </c>
    </row>
    <row r="48" spans="1:45" ht="21.95" customHeight="1">
      <c r="A48" s="1282" t="s">
        <v>168</v>
      </c>
      <c r="B48" s="1282" t="s">
        <v>169</v>
      </c>
      <c r="C48" s="1282" t="s">
        <v>170</v>
      </c>
      <c r="D48" s="1282" t="s">
        <v>171</v>
      </c>
      <c r="E48" s="2484"/>
      <c r="F48" s="2484"/>
      <c r="G48" s="2484"/>
      <c r="H48" s="2484"/>
      <c r="I48" s="2504"/>
      <c r="J48" s="2481" t="str">
        <f>S46&amp;".1"</f>
        <v>....1</v>
      </c>
      <c r="K48" s="1282"/>
      <c r="L48" s="1283" t="s">
        <v>404</v>
      </c>
      <c r="P48" s="2482"/>
      <c r="Q48" s="2482">
        <v>1</v>
      </c>
      <c r="R48" s="294"/>
      <c r="S48" s="1255" t="str">
        <f>$J48</f>
        <v>....1</v>
      </c>
      <c r="T48" s="223" t="s">
        <v>405</v>
      </c>
      <c r="U48" s="237"/>
      <c r="V48" s="2472"/>
      <c r="W48" s="2473"/>
      <c r="X48" s="2473"/>
      <c r="Y48" s="2473"/>
      <c r="Z48" s="2473"/>
      <c r="AA48" s="2473"/>
      <c r="AB48" s="2473"/>
      <c r="AC48" s="2474"/>
      <c r="AD48" s="2472"/>
      <c r="AE48" s="2473"/>
      <c r="AF48" s="2473"/>
      <c r="AG48" s="2473"/>
      <c r="AH48" s="2473"/>
      <c r="AI48" s="2473"/>
      <c r="AJ48" s="2473"/>
      <c r="AK48" s="2473"/>
      <c r="AL48" s="2474"/>
      <c r="AM48" s="1177" t="s">
        <v>406</v>
      </c>
      <c r="AO48" s="437"/>
      <c r="AP48" s="437" t="str">
        <f t="shared" si="1"/>
        <v>Группа потребителей</v>
      </c>
      <c r="AQ48" s="437"/>
      <c r="AR48" s="437"/>
      <c r="AS48" s="1074">
        <v>21</v>
      </c>
    </row>
    <row r="49" spans="1:45" ht="21.95" customHeight="1">
      <c r="A49" s="1282" t="s">
        <v>168</v>
      </c>
      <c r="B49" s="1282" t="s">
        <v>169</v>
      </c>
      <c r="C49" s="1282" t="s">
        <v>170</v>
      </c>
      <c r="D49" s="1282" t="s">
        <v>171</v>
      </c>
      <c r="E49" s="2484"/>
      <c r="F49" s="2484"/>
      <c r="G49" s="2484"/>
      <c r="H49" s="2484"/>
      <c r="I49" s="2504"/>
      <c r="J49" s="2504"/>
      <c r="K49" s="2481" t="str">
        <f>J48&amp;".1"</f>
        <v>....1.1</v>
      </c>
      <c r="L49" s="1283" t="s">
        <v>407</v>
      </c>
      <c r="P49" s="2482"/>
      <c r="Q49" s="2482"/>
      <c r="R49" s="294">
        <v>1</v>
      </c>
      <c r="S49" s="1255" t="str">
        <f>$K49</f>
        <v>....1.1</v>
      </c>
      <c r="T49" s="1266"/>
      <c r="U49" s="237"/>
      <c r="V49" s="688"/>
      <c r="W49" s="262"/>
      <c r="X49" s="688"/>
      <c r="Y49" s="1176"/>
      <c r="Z49" s="2486"/>
      <c r="AA49" s="2344" t="s">
        <v>64</v>
      </c>
      <c r="AB49" s="2486"/>
      <c r="AC49" s="2344" t="s">
        <v>64</v>
      </c>
      <c r="AD49" s="688"/>
      <c r="AE49" s="262"/>
      <c r="AF49" s="688"/>
      <c r="AG49" s="1176"/>
      <c r="AH49" s="2486"/>
      <c r="AI49" s="2344" t="s">
        <v>64</v>
      </c>
      <c r="AJ49" s="2505"/>
      <c r="AK49" s="2344" t="s">
        <v>64</v>
      </c>
      <c r="AL49" s="1267"/>
      <c r="AM49" s="2478" t="s">
        <v>449</v>
      </c>
      <c r="AN49" s="448" t="e">
        <f ca="1">STRCHECKDATE(V50:AL50)</f>
        <v>#NAME?</v>
      </c>
      <c r="AO49" s="437"/>
      <c r="AP49" s="437" t="str">
        <f t="shared" si="1"/>
        <v/>
      </c>
      <c r="AQ49" s="437"/>
      <c r="AR49" s="437"/>
      <c r="AS49" s="1074">
        <v>21</v>
      </c>
    </row>
    <row r="50" spans="1:45" ht="1.1499999999999999" customHeight="1">
      <c r="A50" s="1282" t="s">
        <v>168</v>
      </c>
      <c r="B50" s="1282" t="s">
        <v>169</v>
      </c>
      <c r="C50" s="1282" t="s">
        <v>170</v>
      </c>
      <c r="D50" s="1282" t="s">
        <v>171</v>
      </c>
      <c r="E50" s="2484"/>
      <c r="F50" s="2484"/>
      <c r="G50" s="2484"/>
      <c r="H50" s="2484"/>
      <c r="I50" s="2504"/>
      <c r="J50" s="2504"/>
      <c r="K50" s="2481"/>
      <c r="L50" s="1283"/>
      <c r="P50" s="2482"/>
      <c r="Q50" s="2482"/>
      <c r="R50" s="294"/>
      <c r="S50" s="1261"/>
      <c r="T50" s="237"/>
      <c r="U50" s="237"/>
      <c r="V50" s="262"/>
      <c r="W50" s="262"/>
      <c r="X50" s="262"/>
      <c r="Y50" s="265" t="str">
        <f>Z49&amp;"-"&amp;AB49</f>
        <v>-</v>
      </c>
      <c r="Z50" s="2487"/>
      <c r="AA50" s="2344"/>
      <c r="AB50" s="2487"/>
      <c r="AC50" s="2344"/>
      <c r="AD50" s="262"/>
      <c r="AE50" s="262"/>
      <c r="AF50" s="262"/>
      <c r="AG50" s="265" t="str">
        <f>AH49&amp;"-"&amp;AJ49</f>
        <v>-</v>
      </c>
      <c r="AH50" s="2487"/>
      <c r="AI50" s="2344"/>
      <c r="AJ50" s="2506"/>
      <c r="AK50" s="2344"/>
      <c r="AL50" s="1268"/>
      <c r="AM50" s="2479"/>
      <c r="AO50" s="437"/>
      <c r="AP50" s="437" t="str">
        <f t="shared" si="1"/>
        <v/>
      </c>
      <c r="AQ50" s="437"/>
      <c r="AR50" s="437"/>
      <c r="AS50" s="1074">
        <v>1</v>
      </c>
    </row>
    <row r="51" spans="1:45" ht="11.45" customHeight="1">
      <c r="A51" s="1282" t="s">
        <v>168</v>
      </c>
      <c r="B51" s="1282" t="s">
        <v>169</v>
      </c>
      <c r="C51" s="1282" t="s">
        <v>170</v>
      </c>
      <c r="D51" s="1282" t="s">
        <v>171</v>
      </c>
      <c r="E51" s="2484"/>
      <c r="F51" s="2484"/>
      <c r="G51" s="2484"/>
      <c r="H51" s="2484"/>
      <c r="I51" s="2504"/>
      <c r="J51" s="2481"/>
      <c r="K51" s="1282"/>
      <c r="L51" s="1283"/>
      <c r="P51" s="2482"/>
      <c r="Q51" s="2482"/>
      <c r="R51" s="293"/>
      <c r="S51" s="1197"/>
      <c r="T51" s="224" t="s">
        <v>409</v>
      </c>
      <c r="U51" s="304"/>
      <c r="V51" s="304"/>
      <c r="W51" s="304"/>
      <c r="X51" s="304"/>
      <c r="Y51" s="304"/>
      <c r="Z51" s="304"/>
      <c r="AA51" s="304"/>
      <c r="AB51" s="304"/>
      <c r="AC51" s="304"/>
      <c r="AD51" s="304"/>
      <c r="AE51" s="304"/>
      <c r="AF51" s="304"/>
      <c r="AG51" s="304"/>
      <c r="AH51" s="304"/>
      <c r="AI51" s="304"/>
      <c r="AJ51" s="304"/>
      <c r="AK51" s="304"/>
      <c r="AL51" s="261"/>
      <c r="AM51" s="2480"/>
      <c r="AO51" s="437"/>
      <c r="AP51" s="437" t="str">
        <f t="shared" si="1"/>
        <v>Добавить вид теплоносителя (параметры теплоносителя)</v>
      </c>
      <c r="AQ51" s="437"/>
      <c r="AR51" s="437"/>
      <c r="AS51" s="1074">
        <v>11</v>
      </c>
    </row>
    <row r="52" spans="1:45" ht="11.45" customHeight="1">
      <c r="A52" s="1282" t="s">
        <v>168</v>
      </c>
      <c r="B52" s="1282" t="s">
        <v>169</v>
      </c>
      <c r="C52" s="1282" t="s">
        <v>170</v>
      </c>
      <c r="D52" s="1282" t="s">
        <v>171</v>
      </c>
      <c r="E52" s="2484"/>
      <c r="F52" s="2484"/>
      <c r="G52" s="2484"/>
      <c r="H52" s="2484"/>
      <c r="I52" s="2481"/>
      <c r="J52" s="1282"/>
      <c r="K52" s="1282"/>
      <c r="L52" s="1283"/>
      <c r="P52" s="2482"/>
      <c r="Q52" s="1250"/>
      <c r="R52" s="293"/>
      <c r="S52" s="1197"/>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4">
        <v>11</v>
      </c>
    </row>
    <row r="53" spans="1:45" ht="0" hidden="1" customHeight="1">
      <c r="A53" s="1282" t="s">
        <v>168</v>
      </c>
      <c r="B53" s="1282" t="s">
        <v>169</v>
      </c>
      <c r="C53" s="1282" t="s">
        <v>170</v>
      </c>
      <c r="D53" s="1282" t="s">
        <v>171</v>
      </c>
      <c r="E53" s="2484"/>
      <c r="F53" s="2484"/>
      <c r="G53" s="2484"/>
      <c r="H53" s="2483"/>
      <c r="I53" s="1282"/>
      <c r="J53" s="1282"/>
      <c r="K53" s="1282"/>
      <c r="L53" s="1283"/>
      <c r="M53" s="1284"/>
      <c r="N53" s="1284"/>
      <c r="O53" s="474"/>
      <c r="P53" s="297"/>
      <c r="Q53" s="312"/>
      <c r="R53" s="292"/>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7"/>
      <c r="AP53" s="437" t="str">
        <f t="shared" si="1"/>
        <v/>
      </c>
      <c r="AQ53" s="437"/>
      <c r="AR53" s="437"/>
      <c r="AS53" s="1074">
        <v>0</v>
      </c>
    </row>
    <row r="54" spans="1:45" s="2245" customFormat="1" ht="1.1499999999999999" customHeight="1">
      <c r="A54" s="1262" t="s">
        <v>168</v>
      </c>
      <c r="B54" s="1262" t="s">
        <v>169</v>
      </c>
      <c r="C54" s="1262" t="s">
        <v>170</v>
      </c>
      <c r="D54" s="1233"/>
      <c r="E54" s="2484"/>
      <c r="F54" s="2484"/>
      <c r="G54" s="2483"/>
      <c r="H54" s="1233"/>
      <c r="I54" s="1233"/>
      <c r="J54" s="1233"/>
      <c r="K54" s="1233"/>
      <c r="L54" s="1258"/>
      <c r="M54" s="1234"/>
      <c r="N54" s="1234"/>
      <c r="P54" s="1235"/>
      <c r="Q54" s="1236"/>
      <c r="R54" s="1235"/>
      <c r="S54" s="1241"/>
      <c r="T54" s="1244" t="s">
        <v>412</v>
      </c>
      <c r="U54" s="1243"/>
      <c r="V54" s="1243"/>
      <c r="W54" s="1243"/>
      <c r="X54" s="1243"/>
      <c r="Y54" s="1243"/>
      <c r="Z54" s="1243"/>
      <c r="AA54" s="1243"/>
      <c r="AB54" s="1243"/>
      <c r="AC54" s="1243"/>
      <c r="AD54" s="1243"/>
      <c r="AE54" s="1243"/>
      <c r="AF54" s="1243"/>
      <c r="AG54" s="1243"/>
      <c r="AH54" s="1243"/>
      <c r="AI54" s="1243"/>
      <c r="AJ54" s="1243"/>
      <c r="AK54" s="1243"/>
      <c r="AL54" s="1243"/>
      <c r="AM54" s="1243"/>
      <c r="AO54" s="720"/>
      <c r="AP54" s="720" t="str">
        <f t="shared" si="1"/>
        <v>Добавить источник для дифференциации</v>
      </c>
      <c r="AQ54" s="720"/>
      <c r="AR54" s="720"/>
      <c r="AS54" s="455">
        <v>1</v>
      </c>
    </row>
    <row r="55" spans="1:45" s="2245" customFormat="1" ht="1.1499999999999999" customHeight="1">
      <c r="A55" s="1262" t="s">
        <v>168</v>
      </c>
      <c r="B55" s="1262" t="s">
        <v>169</v>
      </c>
      <c r="C55" s="1233"/>
      <c r="D55" s="1233"/>
      <c r="E55" s="2484"/>
      <c r="F55" s="2483"/>
      <c r="G55" s="1233"/>
      <c r="H55" s="1233"/>
      <c r="I55" s="1233"/>
      <c r="J55" s="1233"/>
      <c r="K55" s="1233"/>
      <c r="L55" s="1258"/>
      <c r="M55" s="1240"/>
      <c r="N55" s="1240"/>
      <c r="P55" s="1235"/>
      <c r="Q55" s="1236"/>
      <c r="R55" s="1235"/>
      <c r="S55" s="1241"/>
      <c r="T55" s="1244" t="s">
        <v>413</v>
      </c>
      <c r="U55" s="1243"/>
      <c r="V55" s="1243"/>
      <c r="W55" s="1243"/>
      <c r="X55" s="1243"/>
      <c r="Y55" s="1243"/>
      <c r="Z55" s="1243"/>
      <c r="AA55" s="1243"/>
      <c r="AB55" s="1243"/>
      <c r="AC55" s="1243"/>
      <c r="AD55" s="1243"/>
      <c r="AE55" s="1243"/>
      <c r="AF55" s="1243"/>
      <c r="AG55" s="1243"/>
      <c r="AH55" s="1243"/>
      <c r="AI55" s="1243"/>
      <c r="AJ55" s="1243"/>
      <c r="AK55" s="1243"/>
      <c r="AL55" s="1243"/>
      <c r="AM55" s="1243"/>
      <c r="AO55" s="720"/>
      <c r="AP55" s="720" t="str">
        <f t="shared" si="1"/>
        <v>Добавить централизованную систему для дифференциации</v>
      </c>
      <c r="AQ55" s="720"/>
      <c r="AR55" s="720"/>
      <c r="AS55" s="455">
        <v>1</v>
      </c>
    </row>
    <row r="56" spans="1:45" s="2245" customFormat="1" ht="1.1499999999999999" customHeight="1">
      <c r="A56" s="1262" t="s">
        <v>168</v>
      </c>
      <c r="B56" s="1262"/>
      <c r="C56" s="1262"/>
      <c r="D56" s="1262"/>
      <c r="E56" s="2483"/>
      <c r="F56" s="1262"/>
      <c r="G56" s="1262"/>
      <c r="H56" s="1262"/>
      <c r="I56" s="1262"/>
      <c r="J56" s="1262"/>
      <c r="K56" s="1262"/>
      <c r="L56" s="1265"/>
      <c r="M56" s="1240"/>
      <c r="N56" s="1240"/>
      <c r="O56" s="455"/>
      <c r="P56" s="317"/>
      <c r="Q56" s="1263"/>
      <c r="R56" s="317"/>
      <c r="S56" s="1241"/>
      <c r="T56" s="1244" t="s">
        <v>414</v>
      </c>
      <c r="U56" s="1243"/>
      <c r="V56" s="1243"/>
      <c r="W56" s="1243"/>
      <c r="X56" s="1243"/>
      <c r="Y56" s="1243"/>
      <c r="Z56" s="1243"/>
      <c r="AA56" s="1243"/>
      <c r="AB56" s="1243"/>
      <c r="AC56" s="1243"/>
      <c r="AD56" s="1243"/>
      <c r="AE56" s="1243"/>
      <c r="AF56" s="1243"/>
      <c r="AG56" s="1243"/>
      <c r="AH56" s="1243"/>
      <c r="AI56" s="1243"/>
      <c r="AJ56" s="1243"/>
      <c r="AK56" s="1243"/>
      <c r="AL56" s="1243"/>
      <c r="AM56" s="1243"/>
      <c r="AO56" s="437"/>
      <c r="AP56" s="437" t="str">
        <f t="shared" si="1"/>
        <v>Добавить территорию для дифференциации</v>
      </c>
      <c r="AQ56" s="437"/>
      <c r="AR56" s="437"/>
      <c r="AS56" s="448">
        <v>1</v>
      </c>
    </row>
    <row r="57" spans="1:45" s="224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446</v>
      </c>
      <c r="U57" s="1243"/>
      <c r="V57" s="1243"/>
      <c r="W57" s="1243"/>
      <c r="X57" s="1243"/>
      <c r="Y57" s="1243"/>
      <c r="Z57" s="1243"/>
      <c r="AA57" s="1243"/>
      <c r="AB57" s="1243"/>
      <c r="AC57" s="1243"/>
      <c r="AD57" s="1243"/>
      <c r="AE57" s="1243"/>
      <c r="AF57" s="1243"/>
      <c r="AG57" s="1243"/>
      <c r="AH57" s="1243"/>
      <c r="AI57" s="1243"/>
      <c r="AJ57" s="1243"/>
      <c r="AK57" s="1243"/>
      <c r="AL57" s="1243"/>
      <c r="AM57" s="1243"/>
      <c r="AO57" s="720"/>
      <c r="AP57" s="720" t="str">
        <f t="shared" si="1"/>
        <v>Добавить наименование тарифа</v>
      </c>
      <c r="AQ57" s="720"/>
      <c r="AR57" s="720"/>
      <c r="AS57" s="455">
        <v>1</v>
      </c>
    </row>
    <row r="58" spans="1:45" ht="11.45" customHeight="1">
      <c r="M58" s="1079"/>
      <c r="N58" s="1079"/>
      <c r="O58" s="474"/>
      <c r="P58" s="1074"/>
      <c r="Q58" s="1074"/>
      <c r="R58" s="1074"/>
      <c r="S58" s="1074"/>
      <c r="AN58" s="1074"/>
      <c r="AO58" s="1074"/>
      <c r="AP58" s="1074"/>
      <c r="AQ58" s="1074"/>
      <c r="AR58" s="1074"/>
      <c r="AS58" s="1074">
        <v>11</v>
      </c>
    </row>
    <row r="59" spans="1:45" ht="19.899999999999999" customHeight="1">
      <c r="O59" s="474"/>
      <c r="S59" s="1172"/>
      <c r="T59" s="2503"/>
      <c r="U59" s="2503"/>
      <c r="V59" s="2503"/>
      <c r="W59" s="2503"/>
      <c r="X59" s="2503"/>
      <c r="Y59" s="2503"/>
      <c r="Z59" s="2503"/>
      <c r="AA59" s="2503"/>
      <c r="AB59" s="2503"/>
      <c r="AC59" s="2503"/>
      <c r="AD59" s="2503"/>
      <c r="AE59" s="2503"/>
      <c r="AF59" s="2503"/>
      <c r="AG59" s="2503"/>
      <c r="AH59" s="2503"/>
      <c r="AI59" s="2503"/>
      <c r="AJ59" s="2503"/>
      <c r="AK59" s="2503"/>
      <c r="AL59" s="2503"/>
      <c r="AM59" s="2503"/>
      <c r="AS59" s="1074">
        <v>19</v>
      </c>
    </row>
    <row r="60" spans="1:45" ht="29.25" customHeight="1">
      <c r="O60" s="474"/>
      <c r="T60" s="2503"/>
      <c r="U60" s="2503"/>
      <c r="V60" s="2503"/>
      <c r="W60" s="2503"/>
      <c r="X60" s="2503"/>
      <c r="Y60" s="2503"/>
      <c r="Z60" s="2503"/>
      <c r="AA60" s="2503"/>
      <c r="AB60" s="2503"/>
      <c r="AC60" s="2503"/>
      <c r="AD60" s="2503"/>
      <c r="AE60" s="2503"/>
      <c r="AF60" s="2503"/>
      <c r="AG60" s="2503"/>
      <c r="AH60" s="2503"/>
      <c r="AI60" s="2503"/>
      <c r="AJ60" s="2503"/>
      <c r="AK60" s="2503"/>
      <c r="AL60" s="2503"/>
      <c r="AM60" s="2503"/>
      <c r="AS60" s="1074">
        <v>28</v>
      </c>
    </row>
    <row r="61" spans="1:45" ht="42" customHeight="1">
      <c r="O61" s="474"/>
      <c r="T61" s="2503"/>
      <c r="U61" s="2503"/>
      <c r="V61" s="2503"/>
      <c r="W61" s="2503"/>
      <c r="X61" s="2503"/>
      <c r="Y61" s="2503"/>
      <c r="Z61" s="2503"/>
      <c r="AA61" s="2503"/>
      <c r="AB61" s="2503"/>
      <c r="AC61" s="2503"/>
      <c r="AD61" s="2503"/>
      <c r="AE61" s="2503"/>
      <c r="AF61" s="2503"/>
      <c r="AG61" s="2503"/>
      <c r="AH61" s="2503"/>
      <c r="AI61" s="2503"/>
      <c r="AJ61" s="2503"/>
      <c r="AK61" s="2503"/>
      <c r="AL61" s="2503"/>
      <c r="AM61" s="2503"/>
      <c r="AS61" s="1074">
        <v>40</v>
      </c>
    </row>
    <row r="62" spans="1:45" ht="14.65" customHeight="1">
      <c r="O62" s="474"/>
      <c r="AS62" s="1074">
        <v>14</v>
      </c>
    </row>
    <row r="63" spans="1:45" ht="21" customHeight="1">
      <c r="O63" s="474"/>
      <c r="S63" s="1172"/>
      <c r="T63" s="2410"/>
      <c r="U63" s="2503"/>
      <c r="V63" s="2503"/>
      <c r="W63" s="2503"/>
      <c r="X63" s="2503"/>
      <c r="Y63" s="2503"/>
      <c r="Z63" s="2503"/>
      <c r="AA63" s="2503"/>
      <c r="AB63" s="2503"/>
      <c r="AC63" s="2503"/>
      <c r="AD63" s="2503"/>
      <c r="AE63" s="2503"/>
      <c r="AF63" s="2503"/>
      <c r="AG63" s="2503"/>
      <c r="AH63" s="2503"/>
      <c r="AI63" s="2503"/>
      <c r="AJ63" s="2503"/>
      <c r="AK63" s="2503"/>
      <c r="AL63" s="2503"/>
      <c r="AM63" s="2503"/>
      <c r="AS63" s="1074">
        <v>20</v>
      </c>
    </row>
    <row r="64" spans="1:45" ht="29.25" customHeight="1">
      <c r="O64" s="474"/>
      <c r="T64" s="2503"/>
      <c r="U64" s="2503"/>
      <c r="V64" s="2503"/>
      <c r="W64" s="2503"/>
      <c r="X64" s="2503"/>
      <c r="Y64" s="2503"/>
      <c r="Z64" s="2503"/>
      <c r="AA64" s="2503"/>
      <c r="AB64" s="2503"/>
      <c r="AC64" s="2503"/>
      <c r="AD64" s="2503"/>
      <c r="AE64" s="2503"/>
      <c r="AF64" s="2503"/>
      <c r="AG64" s="2503"/>
      <c r="AH64" s="2503"/>
      <c r="AI64" s="2503"/>
      <c r="AJ64" s="2503"/>
      <c r="AK64" s="2503"/>
      <c r="AL64" s="2503"/>
      <c r="AM64" s="2503"/>
      <c r="AS64" s="1074">
        <v>28</v>
      </c>
    </row>
    <row r="65" spans="1:45" ht="35.65" customHeight="1">
      <c r="T65" s="2503"/>
      <c r="U65" s="2503"/>
      <c r="V65" s="2503"/>
      <c r="W65" s="2503"/>
      <c r="X65" s="2503"/>
      <c r="Y65" s="2503"/>
      <c r="Z65" s="2503"/>
      <c r="AA65" s="2503"/>
      <c r="AB65" s="2503"/>
      <c r="AC65" s="2503"/>
      <c r="AD65" s="2503"/>
      <c r="AE65" s="2503"/>
      <c r="AF65" s="2503"/>
      <c r="AG65" s="2503"/>
      <c r="AH65" s="2503"/>
      <c r="AI65" s="2503"/>
      <c r="AJ65" s="2503"/>
      <c r="AK65" s="2503"/>
      <c r="AL65" s="2503"/>
      <c r="AM65" s="2503"/>
      <c r="AS65" s="1074">
        <v>34</v>
      </c>
    </row>
    <row r="66" spans="1:45" ht="22.5" hidden="1" customHeight="1">
      <c r="A66" s="1079" t="s">
        <v>81</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8">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8">
        <v>10</v>
      </c>
      <c r="AO66" s="448">
        <v>10</v>
      </c>
      <c r="AP66" s="448">
        <v>10</v>
      </c>
      <c r="AQ66" s="448">
        <v>10</v>
      </c>
      <c r="AR66" s="448">
        <v>10</v>
      </c>
      <c r="AS66" s="1074">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244" hidden="1"/>
    <col min="2" max="2" width="11" style="2244" hidden="1" customWidth="1"/>
    <col min="3" max="3" width="10.5703125" style="2244" hidden="1"/>
    <col min="4" max="4" width="11.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2" style="2244" hidden="1" customWidth="1"/>
    <col min="10" max="10" width="9.85546875" style="2244" hidden="1" customWidth="1"/>
    <col min="11" max="11" width="11.42578125" style="2244" hidden="1" customWidth="1"/>
    <col min="12" max="12" width="19.140625" style="2270" hidden="1" customWidth="1"/>
    <col min="13" max="14" width="12.28515625" style="2271" hidden="1" customWidth="1"/>
    <col min="15" max="15" width="23.42578125" style="2271" hidden="1" customWidth="1"/>
    <col min="16" max="16" width="3.7109375" style="2272" hidden="1" customWidth="1"/>
    <col min="17" max="18" width="3" style="2273" customWidth="1"/>
    <col min="19" max="19" width="12" style="2274" customWidth="1"/>
    <col min="20" max="20" width="31" style="2238" customWidth="1"/>
    <col min="21" max="21" width="0.140625" style="2238" customWidth="1"/>
    <col min="22" max="22" width="24.7109375" style="2238" hidden="1" customWidth="1"/>
    <col min="23" max="23" width="0.140625" style="2238" hidden="1" customWidth="1"/>
    <col min="24" max="25" width="24.7109375" style="2238" hidden="1" customWidth="1"/>
    <col min="26" max="26" width="11.7109375" style="2238" hidden="1" customWidth="1"/>
    <col min="27" max="27" width="3.7109375" style="2238" hidden="1" customWidth="1"/>
    <col min="28" max="28" width="11.7109375" style="2238" hidden="1" customWidth="1"/>
    <col min="29" max="29" width="8.5703125" style="2238" hidden="1" customWidth="1"/>
    <col min="30" max="30" width="24.7109375" style="2238" customWidth="1"/>
    <col min="31" max="31" width="0.140625" style="2238" customWidth="1"/>
    <col min="32" max="33" width="24" style="2238" customWidth="1"/>
    <col min="34" max="34" width="11" style="2238" customWidth="1"/>
    <col min="35" max="35" width="3.7109375" style="2238" customWidth="1"/>
    <col min="36" max="36" width="11" style="2238" customWidth="1"/>
    <col min="37" max="37" width="8.5703125" style="2238" hidden="1" customWidth="1"/>
    <col min="38" max="38" width="4" style="2238" customWidth="1"/>
    <col min="39" max="39" width="115" style="2238" customWidth="1"/>
    <col min="40" max="44" width="10" style="2245" customWidth="1"/>
    <col min="45" max="45" width="10.5703125" style="2238" hidden="1"/>
  </cols>
  <sheetData>
    <row r="1" spans="1:45" ht="22.5" hidden="1" customHeight="1">
      <c r="A1" s="1787"/>
      <c r="Y1" s="264"/>
      <c r="Z1" s="264"/>
      <c r="AG1" s="264"/>
      <c r="AH1" s="264"/>
      <c r="AS1" s="1074" t="s">
        <v>14</v>
      </c>
    </row>
    <row r="2" spans="1:45" ht="21" hidden="1" customHeight="1">
      <c r="A2" s="1282"/>
      <c r="B2" s="1282"/>
      <c r="C2" s="1282"/>
      <c r="D2" s="1282"/>
      <c r="E2" s="2483">
        <v>1</v>
      </c>
      <c r="F2" s="1282"/>
      <c r="G2" s="1282"/>
      <c r="H2" s="1282"/>
      <c r="I2" s="1282"/>
      <c r="J2" s="1282"/>
      <c r="K2" s="1282"/>
      <c r="L2" s="1283"/>
      <c r="M2" s="1284"/>
      <c r="N2" s="1284"/>
      <c r="O2" s="1284"/>
      <c r="P2" s="298"/>
      <c r="Q2" s="297"/>
      <c r="R2" s="292"/>
      <c r="S2" s="1255" t="e">
        <f>INDEX(PT_DIFFERENTIATION_NUM_NTAR,MATCH(A2,PT_DIFFERENTIATION_NTAR_ID,0))</f>
        <v>#N/A</v>
      </c>
      <c r="T2" s="235" t="s">
        <v>123</v>
      </c>
      <c r="U2" s="237"/>
      <c r="V2" s="2469"/>
      <c r="W2" s="2470"/>
      <c r="X2" s="2470"/>
      <c r="Y2" s="2470"/>
      <c r="Z2" s="2470"/>
      <c r="AA2" s="2470"/>
      <c r="AB2" s="2470"/>
      <c r="AC2" s="2471"/>
      <c r="AD2" s="2469" t="e">
        <f>INDEX(PT_DIFFERENTIATION_NTAR,MATCH(A2,PT_DIFFERENTIATION_NTAR_ID,0))</f>
        <v>#N/A</v>
      </c>
      <c r="AE2" s="2470"/>
      <c r="AF2" s="2470"/>
      <c r="AG2" s="2470"/>
      <c r="AH2" s="2470"/>
      <c r="AI2" s="2470"/>
      <c r="AJ2" s="2470"/>
      <c r="AK2" s="2470"/>
      <c r="AL2" s="2471"/>
      <c r="AM2" s="1177" t="s">
        <v>394</v>
      </c>
      <c r="AO2" s="437"/>
      <c r="AP2" s="437" t="str">
        <f t="shared" ref="AP2:AP15" si="0">IF(T2="","",T2)</f>
        <v>Наименование тарифа</v>
      </c>
      <c r="AQ2" s="437"/>
      <c r="AR2" s="437"/>
      <c r="AS2" s="1074">
        <v>0</v>
      </c>
    </row>
    <row r="3" spans="1:45" ht="21" hidden="1" customHeight="1">
      <c r="A3" s="1282"/>
      <c r="B3" s="1282"/>
      <c r="C3" s="1282"/>
      <c r="D3" s="1282"/>
      <c r="E3" s="2484"/>
      <c r="F3" s="2483">
        <v>1</v>
      </c>
      <c r="G3" s="1282"/>
      <c r="H3" s="1282"/>
      <c r="I3" s="1282"/>
      <c r="J3" s="1282"/>
      <c r="K3" s="1282"/>
      <c r="L3" s="1283"/>
      <c r="M3" s="1284"/>
      <c r="N3" s="1284"/>
      <c r="O3" s="1284"/>
      <c r="P3" s="1251"/>
      <c r="Q3" s="289"/>
      <c r="R3" s="290"/>
      <c r="S3" s="1255" t="e">
        <f>INDEX(PT_DIFFERENTIATION_NUM_TER,MATCH(B3,PT_DIFFERENTIATION_TER_ID,0))</f>
        <v>#N/A</v>
      </c>
      <c r="T3" s="245" t="s">
        <v>395</v>
      </c>
      <c r="U3" s="237"/>
      <c r="V3" s="2469"/>
      <c r="W3" s="2470"/>
      <c r="X3" s="2470"/>
      <c r="Y3" s="2470"/>
      <c r="Z3" s="2470"/>
      <c r="AA3" s="2470"/>
      <c r="AB3" s="2470"/>
      <c r="AC3" s="2471"/>
      <c r="AD3" s="2469" t="e">
        <f>INDEX(PT_DIFFERENTIATION_TER,MATCH(B3,PT_DIFFERENTIATION_TER_ID,0))</f>
        <v>#N/A</v>
      </c>
      <c r="AE3" s="2470"/>
      <c r="AF3" s="2470"/>
      <c r="AG3" s="2470"/>
      <c r="AH3" s="2470"/>
      <c r="AI3" s="2470"/>
      <c r="AJ3" s="2470"/>
      <c r="AK3" s="2470"/>
      <c r="AL3" s="2471"/>
      <c r="AM3" s="1177" t="s">
        <v>396</v>
      </c>
      <c r="AO3" s="437"/>
      <c r="AP3" s="437" t="str">
        <f t="shared" si="0"/>
        <v>Территория действия тарифа</v>
      </c>
      <c r="AQ3" s="437"/>
      <c r="AR3" s="437"/>
      <c r="AS3" s="1074">
        <v>0</v>
      </c>
    </row>
    <row r="4" spans="1:45" ht="23.25" hidden="1" customHeight="1">
      <c r="A4" s="1282"/>
      <c r="B4" s="1282"/>
      <c r="C4" s="1282"/>
      <c r="D4" s="1282"/>
      <c r="E4" s="2484"/>
      <c r="F4" s="2484"/>
      <c r="G4" s="2483">
        <v>1</v>
      </c>
      <c r="H4" s="1282"/>
      <c r="I4" s="1282"/>
      <c r="J4" s="1282"/>
      <c r="K4" s="1282"/>
      <c r="L4" s="1283"/>
      <c r="M4" s="1284"/>
      <c r="N4" s="1284"/>
      <c r="O4" s="1284"/>
      <c r="P4" s="291"/>
      <c r="Q4" s="289"/>
      <c r="R4" s="290"/>
      <c r="S4" s="1921" t="e">
        <f>INDEX(PT_DIFFERENTIATION_NUM_CS,MATCH(C4,PT_DIFFERENTIATION_CS_ID,0))</f>
        <v>#N/A</v>
      </c>
      <c r="T4" s="1925" t="s">
        <v>397</v>
      </c>
      <c r="U4" s="1926"/>
      <c r="V4" s="2515"/>
      <c r="W4" s="2516"/>
      <c r="X4" s="2516"/>
      <c r="Y4" s="2516"/>
      <c r="Z4" s="2516"/>
      <c r="AA4" s="2516"/>
      <c r="AB4" s="2516"/>
      <c r="AC4" s="2517"/>
      <c r="AD4" s="2515" t="e">
        <f>INDEX(PT_DIFFERENTIATION_CS,MATCH(C4,PT_DIFFERENTIATION_CS_ID,0))</f>
        <v>#N/A</v>
      </c>
      <c r="AE4" s="2516"/>
      <c r="AF4" s="2516"/>
      <c r="AG4" s="2516"/>
      <c r="AH4" s="2516"/>
      <c r="AI4" s="2516"/>
      <c r="AJ4" s="2516"/>
      <c r="AK4" s="2516"/>
      <c r="AL4" s="2517"/>
      <c r="AM4" s="1177" t="s">
        <v>398</v>
      </c>
      <c r="AO4" s="437"/>
      <c r="AP4" s="437" t="str">
        <f t="shared" si="0"/>
        <v xml:space="preserve">Наименование системы теплоснабжения </v>
      </c>
      <c r="AQ4" s="437"/>
      <c r="AR4" s="437"/>
      <c r="AS4" s="1074">
        <v>0</v>
      </c>
    </row>
    <row r="5" spans="1:45" ht="21" hidden="1" customHeight="1">
      <c r="A5" s="1282"/>
      <c r="B5" s="1282"/>
      <c r="C5" s="1282"/>
      <c r="D5" s="1282"/>
      <c r="E5" s="2484"/>
      <c r="F5" s="2484"/>
      <c r="G5" s="2484"/>
      <c r="H5" s="2483">
        <v>1</v>
      </c>
      <c r="I5" s="1282"/>
      <c r="J5" s="1282"/>
      <c r="K5" s="1282"/>
      <c r="L5" s="1283"/>
      <c r="M5" s="1284"/>
      <c r="N5" s="1284"/>
      <c r="O5" s="1284"/>
      <c r="P5" s="291"/>
      <c r="Q5" s="289"/>
      <c r="R5" s="1554"/>
      <c r="S5" s="1920" t="e">
        <f>INDEX(PT_DIFFERENTIATION_NUM_IST_TE,MATCH(D5,PT_DIFFERENTIATION_IST_TE_ID,0))</f>
        <v>#N/A</v>
      </c>
      <c r="T5" s="247" t="s">
        <v>399</v>
      </c>
      <c r="U5" s="237"/>
      <c r="V5" s="2518"/>
      <c r="W5" s="2518"/>
      <c r="X5" s="2518"/>
      <c r="Y5" s="2518"/>
      <c r="Z5" s="2518"/>
      <c r="AA5" s="2518"/>
      <c r="AB5" s="2518"/>
      <c r="AC5" s="2518"/>
      <c r="AD5" s="2518" t="e">
        <f>INDEX(PT_DIFFERENTIATION_IST_TE,MATCH(D5,PT_DIFFERENTIATION_IST_TE_ID,0))</f>
        <v>#N/A</v>
      </c>
      <c r="AE5" s="2518"/>
      <c r="AF5" s="2518"/>
      <c r="AG5" s="2518"/>
      <c r="AH5" s="2518"/>
      <c r="AI5" s="2518"/>
      <c r="AJ5" s="2518"/>
      <c r="AK5" s="2518"/>
      <c r="AL5" s="2518"/>
      <c r="AM5" s="1923" t="s">
        <v>400</v>
      </c>
      <c r="AO5" s="437"/>
      <c r="AP5" s="437" t="str">
        <f t="shared" si="0"/>
        <v xml:space="preserve">Источник тепловой энергии  </v>
      </c>
      <c r="AQ5" s="437"/>
      <c r="AR5" s="437"/>
      <c r="AS5" s="1074">
        <v>0</v>
      </c>
    </row>
    <row r="6" spans="1:45" ht="0.75" hidden="1" customHeight="1">
      <c r="A6" s="1282"/>
      <c r="B6" s="1282"/>
      <c r="C6" s="1282"/>
      <c r="D6" s="1282"/>
      <c r="E6" s="2484"/>
      <c r="F6" s="2484"/>
      <c r="G6" s="2484"/>
      <c r="H6" s="2484"/>
      <c r="I6" s="2481" t="e">
        <f>S5&amp;".1"</f>
        <v>#N/A</v>
      </c>
      <c r="J6" s="1282"/>
      <c r="K6" s="1282"/>
      <c r="L6" s="1283" t="s">
        <v>401</v>
      </c>
      <c r="M6" s="474"/>
      <c r="P6" s="2482">
        <v>1</v>
      </c>
      <c r="Q6" s="1250"/>
      <c r="R6" s="1919"/>
      <c r="S6" s="966"/>
      <c r="T6" s="1302"/>
      <c r="U6" s="1303"/>
      <c r="V6" s="2519"/>
      <c r="W6" s="2519"/>
      <c r="X6" s="2519"/>
      <c r="Y6" s="2519"/>
      <c r="Z6" s="2519"/>
      <c r="AA6" s="2519"/>
      <c r="AB6" s="2519"/>
      <c r="AC6" s="2519"/>
      <c r="AD6" s="2519"/>
      <c r="AE6" s="2519"/>
      <c r="AF6" s="2519"/>
      <c r="AG6" s="2519"/>
      <c r="AH6" s="2519"/>
      <c r="AI6" s="2519"/>
      <c r="AJ6" s="2519"/>
      <c r="AK6" s="2519"/>
      <c r="AL6" s="2519"/>
      <c r="AM6" s="1924"/>
      <c r="AO6" s="437"/>
      <c r="AP6" s="437" t="str">
        <f t="shared" si="0"/>
        <v/>
      </c>
      <c r="AQ6" s="437"/>
      <c r="AR6" s="437"/>
      <c r="AS6" s="1074">
        <v>0</v>
      </c>
    </row>
    <row r="7" spans="1:45" ht="84" hidden="1" customHeight="1">
      <c r="A7" s="1282"/>
      <c r="B7" s="1282"/>
      <c r="C7" s="1282"/>
      <c r="D7" s="1282"/>
      <c r="E7" s="2484"/>
      <c r="F7" s="2484"/>
      <c r="G7" s="2484"/>
      <c r="H7" s="2484"/>
      <c r="I7" s="2504"/>
      <c r="J7" s="2481" t="e">
        <f>I6&amp;".1"</f>
        <v>#N/A</v>
      </c>
      <c r="K7" s="1282"/>
      <c r="L7" s="1283" t="s">
        <v>404</v>
      </c>
      <c r="M7" s="474"/>
      <c r="N7" s="1285"/>
      <c r="P7" s="2482"/>
      <c r="Q7" s="2482">
        <v>1</v>
      </c>
      <c r="R7" s="1561"/>
      <c r="S7" s="1920" t="e">
        <f>$J7</f>
        <v>#N/A</v>
      </c>
      <c r="T7" s="223" t="s">
        <v>405</v>
      </c>
      <c r="U7" s="237"/>
      <c r="V7" s="2520"/>
      <c r="W7" s="2520"/>
      <c r="X7" s="2520"/>
      <c r="Y7" s="2520"/>
      <c r="Z7" s="2520"/>
      <c r="AA7" s="2520"/>
      <c r="AB7" s="2520"/>
      <c r="AC7" s="2520"/>
      <c r="AD7" s="2520"/>
      <c r="AE7" s="2520"/>
      <c r="AF7" s="2520"/>
      <c r="AG7" s="2520"/>
      <c r="AH7" s="2520"/>
      <c r="AI7" s="2520"/>
      <c r="AJ7" s="2520"/>
      <c r="AK7" s="2520"/>
      <c r="AL7" s="2520"/>
      <c r="AM7" s="1923" t="s">
        <v>406</v>
      </c>
      <c r="AO7" s="437"/>
      <c r="AP7" s="437" t="str">
        <f t="shared" si="0"/>
        <v>Группа потребителей</v>
      </c>
      <c r="AQ7" s="437"/>
      <c r="AR7" s="437"/>
      <c r="AS7" s="1074">
        <v>0</v>
      </c>
    </row>
    <row r="8" spans="1:45" ht="11.25" hidden="1" customHeight="1">
      <c r="A8" s="1282"/>
      <c r="B8" s="1282"/>
      <c r="C8" s="1282"/>
      <c r="D8" s="1282"/>
      <c r="E8" s="2484"/>
      <c r="F8" s="2484"/>
      <c r="G8" s="2484"/>
      <c r="H8" s="2484"/>
      <c r="I8" s="2504"/>
      <c r="J8" s="2504"/>
      <c r="K8" s="2481" t="e">
        <f>J7&amp;".1"</f>
        <v>#N/A</v>
      </c>
      <c r="L8" s="1283" t="s">
        <v>407</v>
      </c>
      <c r="M8" s="474"/>
      <c r="N8" s="1285"/>
      <c r="O8" s="1285"/>
      <c r="P8" s="2482"/>
      <c r="Q8" s="2482"/>
      <c r="R8" s="294">
        <v>1</v>
      </c>
      <c r="S8" s="1922" t="e">
        <f>$K8</f>
        <v>#N/A</v>
      </c>
      <c r="T8" s="1927"/>
      <c r="U8" s="1928"/>
      <c r="V8" s="1929"/>
      <c r="W8" s="1268"/>
      <c r="X8" s="1929"/>
      <c r="Y8" s="1930"/>
      <c r="Z8" s="2521"/>
      <c r="AA8" s="2349" t="s">
        <v>64</v>
      </c>
      <c r="AB8" s="2521"/>
      <c r="AC8" s="2349" t="s">
        <v>64</v>
      </c>
      <c r="AD8" s="1929"/>
      <c r="AE8" s="1268"/>
      <c r="AF8" s="1929"/>
      <c r="AG8" s="1930"/>
      <c r="AH8" s="2521"/>
      <c r="AI8" s="2349" t="s">
        <v>64</v>
      </c>
      <c r="AJ8" s="2521"/>
      <c r="AK8" s="2349" t="s">
        <v>64</v>
      </c>
      <c r="AL8" s="1268"/>
      <c r="AM8" s="2478" t="s">
        <v>408</v>
      </c>
      <c r="AN8" s="448" t="e">
        <f ca="1">STRCHECKDATE(V9:AL9)</f>
        <v>#NAME?</v>
      </c>
      <c r="AO8" s="437"/>
      <c r="AP8" s="437" t="str">
        <f t="shared" si="0"/>
        <v/>
      </c>
      <c r="AQ8" s="437"/>
      <c r="AR8" s="437"/>
      <c r="AS8" s="1074">
        <v>0</v>
      </c>
    </row>
    <row r="9" spans="1:45" ht="0.75" hidden="1" customHeight="1">
      <c r="A9" s="1282"/>
      <c r="B9" s="1282"/>
      <c r="C9" s="1282"/>
      <c r="D9" s="1282"/>
      <c r="E9" s="2484"/>
      <c r="F9" s="2484"/>
      <c r="G9" s="2484"/>
      <c r="H9" s="2484"/>
      <c r="I9" s="2504"/>
      <c r="J9" s="2504"/>
      <c r="K9" s="2481"/>
      <c r="L9" s="1283"/>
      <c r="M9" s="474"/>
      <c r="N9" s="1285"/>
      <c r="O9" s="1285"/>
      <c r="P9" s="2482"/>
      <c r="Q9" s="2482"/>
      <c r="R9" s="294"/>
      <c r="S9" s="1261"/>
      <c r="T9" s="237"/>
      <c r="U9" s="237"/>
      <c r="V9" s="262"/>
      <c r="W9" s="262"/>
      <c r="X9" s="262"/>
      <c r="Y9" s="265" t="str">
        <f>Z8&amp;"-"&amp;AB8</f>
        <v>-</v>
      </c>
      <c r="Z9" s="2487"/>
      <c r="AA9" s="2344"/>
      <c r="AB9" s="2487"/>
      <c r="AC9" s="2344"/>
      <c r="AD9" s="262"/>
      <c r="AE9" s="262"/>
      <c r="AF9" s="262"/>
      <c r="AG9" s="265" t="str">
        <f>AH8&amp;"-"&amp;AJ8</f>
        <v>-</v>
      </c>
      <c r="AH9" s="2487"/>
      <c r="AI9" s="2344"/>
      <c r="AJ9" s="2487"/>
      <c r="AK9" s="2344"/>
      <c r="AL9" s="262"/>
      <c r="AM9" s="2479"/>
      <c r="AO9" s="437"/>
      <c r="AP9" s="437" t="str">
        <f t="shared" si="0"/>
        <v/>
      </c>
      <c r="AQ9" s="437"/>
      <c r="AR9" s="437"/>
      <c r="AS9" s="1074">
        <v>0</v>
      </c>
    </row>
    <row r="10" spans="1:45" ht="11.25" hidden="1" customHeight="1">
      <c r="A10" s="1282"/>
      <c r="B10" s="1282"/>
      <c r="C10" s="1282"/>
      <c r="D10" s="1282"/>
      <c r="E10" s="2484"/>
      <c r="F10" s="2484"/>
      <c r="G10" s="2484"/>
      <c r="H10" s="2484"/>
      <c r="I10" s="2504"/>
      <c r="J10" s="2481"/>
      <c r="K10" s="1282"/>
      <c r="L10" s="1283"/>
      <c r="M10" s="474"/>
      <c r="N10" s="1285"/>
      <c r="P10" s="2482"/>
      <c r="Q10" s="2482"/>
      <c r="R10" s="293"/>
      <c r="S10" s="1197"/>
      <c r="T10" s="224" t="s">
        <v>409</v>
      </c>
      <c r="U10" s="304"/>
      <c r="V10" s="304"/>
      <c r="W10" s="304"/>
      <c r="X10" s="304"/>
      <c r="Y10" s="304"/>
      <c r="Z10" s="304"/>
      <c r="AA10" s="304"/>
      <c r="AB10" s="304"/>
      <c r="AC10" s="304"/>
      <c r="AD10" s="304"/>
      <c r="AE10" s="304"/>
      <c r="AF10" s="304"/>
      <c r="AG10" s="304"/>
      <c r="AH10" s="304"/>
      <c r="AI10" s="304"/>
      <c r="AJ10" s="304"/>
      <c r="AK10" s="304"/>
      <c r="AL10" s="261"/>
      <c r="AM10" s="2480"/>
      <c r="AO10" s="437"/>
      <c r="AP10" s="437" t="str">
        <f t="shared" si="0"/>
        <v>Добавить вид теплоносителя (параметры теплоносителя)</v>
      </c>
      <c r="AQ10" s="437"/>
      <c r="AR10" s="437"/>
      <c r="AS10" s="1074">
        <v>0</v>
      </c>
    </row>
    <row r="11" spans="1:45" ht="11.25" hidden="1" customHeight="1">
      <c r="A11" s="1282"/>
      <c r="B11" s="1282"/>
      <c r="C11" s="1282"/>
      <c r="D11" s="1282"/>
      <c r="E11" s="2484"/>
      <c r="F11" s="2484"/>
      <c r="G11" s="2484"/>
      <c r="H11" s="2484"/>
      <c r="I11" s="2481"/>
      <c r="J11" s="1282"/>
      <c r="K11" s="1282"/>
      <c r="L11" s="1283"/>
      <c r="M11" s="474"/>
      <c r="P11" s="2482"/>
      <c r="Q11" s="1250"/>
      <c r="R11" s="293"/>
      <c r="S11" s="1197"/>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4">
        <v>0</v>
      </c>
    </row>
    <row r="12" spans="1:45" ht="0.75" hidden="1" customHeight="1">
      <c r="A12" s="1282"/>
      <c r="B12" s="1282"/>
      <c r="C12" s="1282"/>
      <c r="D12" s="1282"/>
      <c r="E12" s="2484"/>
      <c r="F12" s="2484"/>
      <c r="G12" s="2484"/>
      <c r="H12" s="2483"/>
      <c r="I12" s="1282"/>
      <c r="J12" s="1282"/>
      <c r="K12" s="1282"/>
      <c r="L12" s="1283"/>
      <c r="M12" s="1284"/>
      <c r="N12" s="1284"/>
      <c r="O12" s="474"/>
      <c r="P12" s="297"/>
      <c r="Q12" s="312"/>
      <c r="R12" s="292"/>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7"/>
      <c r="AP12" s="437" t="str">
        <f t="shared" si="0"/>
        <v/>
      </c>
      <c r="AQ12" s="437"/>
      <c r="AR12" s="437"/>
      <c r="AS12" s="1074">
        <v>0</v>
      </c>
    </row>
    <row r="13" spans="1:45" s="2245" customFormat="1" ht="0.75" hidden="1" customHeight="1">
      <c r="A13" s="1233"/>
      <c r="B13" s="1233"/>
      <c r="C13" s="1233"/>
      <c r="D13" s="1233"/>
      <c r="E13" s="2484"/>
      <c r="F13" s="2484"/>
      <c r="G13" s="2483"/>
      <c r="H13" s="1233"/>
      <c r="I13" s="1233"/>
      <c r="J13" s="1233"/>
      <c r="K13" s="1233"/>
      <c r="L13" s="1258"/>
      <c r="M13" s="1234"/>
      <c r="N13" s="1234"/>
      <c r="P13" s="1235"/>
      <c r="Q13" s="1236"/>
      <c r="R13" s="1235"/>
      <c r="S13" s="1237"/>
      <c r="T13" s="1238" t="s">
        <v>412</v>
      </c>
      <c r="U13" s="1239"/>
      <c r="V13" s="1239"/>
      <c r="W13" s="1239"/>
      <c r="X13" s="1239"/>
      <c r="Y13" s="1239"/>
      <c r="Z13" s="1239"/>
      <c r="AA13" s="1239"/>
      <c r="AB13" s="1239"/>
      <c r="AC13" s="1239"/>
      <c r="AD13" s="1239"/>
      <c r="AE13" s="1239"/>
      <c r="AF13" s="1239"/>
      <c r="AG13" s="1239"/>
      <c r="AH13" s="1239"/>
      <c r="AI13" s="1239"/>
      <c r="AJ13" s="1239"/>
      <c r="AK13" s="1239"/>
      <c r="AL13" s="1239"/>
      <c r="AM13" s="1239"/>
      <c r="AO13" s="720"/>
      <c r="AP13" s="720" t="str">
        <f t="shared" si="0"/>
        <v>Добавить источник для дифференциации</v>
      </c>
      <c r="AQ13" s="720"/>
      <c r="AR13" s="720"/>
      <c r="AS13" s="455">
        <v>0</v>
      </c>
    </row>
    <row r="14" spans="1:45" s="2245" customFormat="1" ht="0.75" hidden="1" customHeight="1">
      <c r="A14" s="1233"/>
      <c r="B14" s="1233"/>
      <c r="C14" s="1233"/>
      <c r="D14" s="1233"/>
      <c r="E14" s="2484"/>
      <c r="F14" s="2483"/>
      <c r="G14" s="1233"/>
      <c r="H14" s="1233"/>
      <c r="I14" s="1233"/>
      <c r="J14" s="1233"/>
      <c r="K14" s="1233"/>
      <c r="L14" s="1258"/>
      <c r="M14" s="1240"/>
      <c r="N14" s="1240"/>
      <c r="P14" s="1235"/>
      <c r="Q14" s="1236"/>
      <c r="R14" s="1235"/>
      <c r="S14" s="1241"/>
      <c r="T14" s="1242" t="s">
        <v>413</v>
      </c>
      <c r="U14" s="1243"/>
      <c r="V14" s="1243"/>
      <c r="W14" s="1243"/>
      <c r="X14" s="1243"/>
      <c r="Y14" s="1243"/>
      <c r="Z14" s="1243"/>
      <c r="AA14" s="1243"/>
      <c r="AB14" s="1243"/>
      <c r="AC14" s="1243"/>
      <c r="AD14" s="1243"/>
      <c r="AE14" s="1243"/>
      <c r="AF14" s="1243"/>
      <c r="AG14" s="1243"/>
      <c r="AH14" s="1243"/>
      <c r="AI14" s="1243"/>
      <c r="AJ14" s="1243"/>
      <c r="AK14" s="1243"/>
      <c r="AL14" s="1243"/>
      <c r="AM14" s="1243"/>
      <c r="AO14" s="720"/>
      <c r="AP14" s="720" t="str">
        <f t="shared" si="0"/>
        <v>Добавить централизованную систему для дифференциации</v>
      </c>
      <c r="AQ14" s="720"/>
      <c r="AR14" s="720"/>
      <c r="AS14" s="455">
        <v>0</v>
      </c>
    </row>
    <row r="15" spans="1:45" s="2245" customFormat="1" ht="0.75" hidden="1" customHeight="1">
      <c r="A15" s="1233"/>
      <c r="B15" s="1233"/>
      <c r="C15" s="1233"/>
      <c r="D15" s="1233"/>
      <c r="E15" s="2483"/>
      <c r="F15" s="1233"/>
      <c r="G15" s="1233"/>
      <c r="H15" s="1233"/>
      <c r="I15" s="1233"/>
      <c r="J15" s="1233"/>
      <c r="K15" s="1233"/>
      <c r="L15" s="1258"/>
      <c r="M15" s="1240"/>
      <c r="N15" s="1240"/>
      <c r="P15" s="1235"/>
      <c r="Q15" s="1236"/>
      <c r="R15" s="1235"/>
      <c r="S15" s="1241"/>
      <c r="T15" s="1244" t="s">
        <v>414</v>
      </c>
      <c r="U15" s="1243"/>
      <c r="V15" s="1243"/>
      <c r="W15" s="1243"/>
      <c r="X15" s="1243"/>
      <c r="Y15" s="1243"/>
      <c r="Z15" s="1243"/>
      <c r="AA15" s="1243"/>
      <c r="AB15" s="1243"/>
      <c r="AC15" s="1243"/>
      <c r="AD15" s="1243"/>
      <c r="AE15" s="1243"/>
      <c r="AF15" s="1243"/>
      <c r="AG15" s="1243"/>
      <c r="AH15" s="1243"/>
      <c r="AI15" s="1243"/>
      <c r="AJ15" s="1243"/>
      <c r="AK15" s="1243"/>
      <c r="AL15" s="1243"/>
      <c r="AM15" s="1243"/>
      <c r="AO15" s="720"/>
      <c r="AP15" s="720" t="str">
        <f t="shared" si="0"/>
        <v>Добавить территорию для дифференциации</v>
      </c>
      <c r="AQ15" s="720"/>
      <c r="AR15" s="720"/>
      <c r="AS15" s="455">
        <v>0</v>
      </c>
    </row>
    <row r="16" spans="1:45" ht="14.25" hidden="1" customHeight="1">
      <c r="AC16" s="264"/>
      <c r="AK16" s="264"/>
      <c r="AS16" s="1074">
        <v>0</v>
      </c>
    </row>
    <row r="17" spans="1:45" ht="14.25" hidden="1" customHeight="1">
      <c r="AD17" s="1279"/>
      <c r="AE17" s="1279"/>
      <c r="AF17" s="1279"/>
      <c r="AG17" s="1280"/>
      <c r="AH17" s="2488"/>
      <c r="AI17" s="2489" t="s">
        <v>64</v>
      </c>
      <c r="AJ17" s="2488"/>
      <c r="AK17" s="2489" t="s">
        <v>64</v>
      </c>
      <c r="AS17" s="1074">
        <v>0</v>
      </c>
    </row>
    <row r="18" spans="1:45" ht="14.25" hidden="1" customHeight="1">
      <c r="AD18" s="1279"/>
      <c r="AE18" s="1279"/>
      <c r="AF18" s="1279"/>
      <c r="AG18" s="265" t="str">
        <f>AH17&amp;"-"&amp;AJ17</f>
        <v>-</v>
      </c>
      <c r="AH18" s="2489"/>
      <c r="AI18" s="2489"/>
      <c r="AJ18" s="2489"/>
      <c r="AK18" s="2489"/>
      <c r="AS18" s="1074">
        <v>0</v>
      </c>
    </row>
    <row r="19" spans="1:45" ht="14.25" hidden="1" customHeight="1">
      <c r="AK19" s="264"/>
      <c r="AS19" s="1074">
        <v>0</v>
      </c>
    </row>
    <row r="20" spans="1:45" s="2244" customFormat="1" ht="22.5" hidden="1" customHeight="1">
      <c r="L20" s="1248"/>
      <c r="M20" s="1281"/>
      <c r="N20" s="1281"/>
      <c r="O20" s="1286" t="s">
        <v>415</v>
      </c>
      <c r="P20" s="1281"/>
      <c r="Q20" s="1290"/>
      <c r="R20" s="1290"/>
      <c r="S20" s="666"/>
      <c r="Z20" s="1286"/>
      <c r="AB20" s="1286"/>
      <c r="AC20" s="1285"/>
      <c r="AH20" s="1286"/>
      <c r="AJ20" s="1286"/>
      <c r="AK20" s="1285"/>
      <c r="AN20" s="448"/>
      <c r="AO20" s="448"/>
      <c r="AP20" s="448"/>
      <c r="AQ20" s="448"/>
      <c r="AR20" s="448"/>
      <c r="AS20" s="1079">
        <v>0</v>
      </c>
    </row>
    <row r="21" spans="1:45" s="2244" customFormat="1" ht="14.25" hidden="1" customHeight="1">
      <c r="L21" s="1248"/>
      <c r="M21" s="1281"/>
      <c r="N21" s="1281"/>
      <c r="O21" s="1281"/>
      <c r="P21" s="1281"/>
      <c r="Q21" s="1290"/>
      <c r="R21" s="1290"/>
      <c r="S21" s="666"/>
      <c r="AC21" s="1285"/>
      <c r="AK21" s="1285"/>
      <c r="AN21" s="448"/>
      <c r="AO21" s="448"/>
      <c r="AP21" s="448"/>
      <c r="AQ21" s="448"/>
      <c r="AR21" s="448"/>
      <c r="AS21" s="1079">
        <v>0</v>
      </c>
    </row>
    <row r="22" spans="1:45" s="2244" customFormat="1" ht="14.25" hidden="1" customHeight="1">
      <c r="L22" s="1248"/>
      <c r="M22" s="1281"/>
      <c r="N22" s="1281"/>
      <c r="O22" s="1283" t="s">
        <v>416</v>
      </c>
      <c r="P22" s="1281"/>
      <c r="Q22" s="1290"/>
      <c r="R22" s="1290"/>
      <c r="S22" s="666"/>
      <c r="T22" s="1079" t="s">
        <v>417</v>
      </c>
      <c r="AA22" s="123" t="s">
        <v>418</v>
      </c>
      <c r="AC22" s="123" t="s">
        <v>419</v>
      </c>
      <c r="AD22" s="1079" t="s">
        <v>417</v>
      </c>
      <c r="AI22" s="123" t="s">
        <v>420</v>
      </c>
      <c r="AK22" s="123" t="s">
        <v>419</v>
      </c>
      <c r="AN22" s="448"/>
      <c r="AO22" s="448"/>
      <c r="AP22" s="448"/>
      <c r="AQ22" s="448"/>
      <c r="AR22" s="448"/>
      <c r="AS22" s="1079">
        <v>0</v>
      </c>
    </row>
    <row r="23" spans="1:45" ht="14.25" hidden="1" customHeight="1">
      <c r="O23" s="1283"/>
      <c r="AS23" s="1074">
        <v>0</v>
      </c>
    </row>
    <row r="24" spans="1:45" ht="14.25" hidden="1" customHeight="1">
      <c r="O24" s="1283"/>
      <c r="AS24" s="1074">
        <v>0</v>
      </c>
    </row>
    <row r="25" spans="1:45" ht="14.65" customHeight="1">
      <c r="Q25" s="313"/>
      <c r="R25" s="313"/>
      <c r="S25" s="1194"/>
      <c r="T25" s="300"/>
      <c r="U25" s="300"/>
      <c r="V25" s="446"/>
      <c r="W25" s="446"/>
      <c r="X25" s="446"/>
      <c r="Y25" s="446"/>
      <c r="Z25" s="446"/>
      <c r="AA25" s="446"/>
      <c r="AB25" s="446"/>
      <c r="AC25" s="446"/>
      <c r="AD25" s="446"/>
      <c r="AE25" s="446"/>
      <c r="AF25" s="446"/>
      <c r="AG25" s="446"/>
      <c r="AH25" s="446"/>
      <c r="AI25" s="446"/>
      <c r="AJ25" s="446"/>
      <c r="AK25" s="446"/>
      <c r="AS25" s="1074">
        <v>14</v>
      </c>
    </row>
    <row r="26" spans="1:45" ht="54.75" customHeight="1">
      <c r="Q26" s="313"/>
      <c r="R26" s="313"/>
      <c r="S26" s="242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27"/>
      <c r="U26" s="2427"/>
      <c r="V26" s="2427"/>
      <c r="W26" s="2427"/>
      <c r="X26" s="2427"/>
      <c r="Y26" s="2427"/>
      <c r="Z26" s="2427"/>
      <c r="AA26" s="2427"/>
      <c r="AB26" s="2427"/>
      <c r="AC26" s="2427"/>
      <c r="AD26" s="2427"/>
      <c r="AE26" s="2427"/>
      <c r="AF26" s="2427"/>
      <c r="AG26" s="2427"/>
      <c r="AH26" s="2427"/>
      <c r="AI26" s="2427"/>
      <c r="AJ26" s="2427"/>
      <c r="AK26" s="1162"/>
      <c r="AS26" s="1074">
        <v>52</v>
      </c>
    </row>
    <row r="27" spans="1:45" ht="14.65" customHeight="1">
      <c r="Q27" s="313"/>
      <c r="R27" s="313"/>
      <c r="S27" s="2412" t="str">
        <f>IF(org=0,"Не определено",org)</f>
        <v>МУП "Водоканал"</v>
      </c>
      <c r="T27" s="2412"/>
      <c r="U27" s="2412"/>
      <c r="V27" s="2412"/>
      <c r="W27" s="2412"/>
      <c r="X27" s="2412"/>
      <c r="Y27" s="2412"/>
      <c r="Z27" s="2412"/>
      <c r="AA27" s="2412"/>
      <c r="AB27" s="2412"/>
      <c r="AC27" s="2412"/>
      <c r="AD27" s="2412"/>
      <c r="AE27" s="2412"/>
      <c r="AF27" s="2412"/>
      <c r="AG27" s="2412"/>
      <c r="AH27" s="2412"/>
      <c r="AI27" s="2412"/>
      <c r="AJ27" s="2412"/>
      <c r="AK27" s="1162"/>
      <c r="AS27" s="1074">
        <v>14</v>
      </c>
    </row>
    <row r="28" spans="1:45" ht="14.25" hidden="1" customHeight="1">
      <c r="Q28" s="313"/>
      <c r="R28" s="313"/>
      <c r="S28" s="1194"/>
      <c r="T28" s="300"/>
      <c r="U28" s="300"/>
      <c r="V28" s="259"/>
      <c r="W28" s="259"/>
      <c r="X28" s="259"/>
      <c r="Y28" s="259"/>
      <c r="Z28" s="259"/>
      <c r="AA28" s="259"/>
      <c r="AB28" s="259"/>
      <c r="AC28" s="259"/>
      <c r="AD28" s="259"/>
      <c r="AE28" s="259"/>
      <c r="AF28" s="259"/>
      <c r="AG28" s="259"/>
      <c r="AH28" s="259"/>
      <c r="AI28" s="259"/>
      <c r="AJ28" s="259"/>
      <c r="AK28" s="259"/>
      <c r="AL28" s="446"/>
      <c r="AS28" s="1074">
        <v>0</v>
      </c>
    </row>
    <row r="29" spans="1:45" s="2254" customFormat="1" ht="25.5" hidden="1" customHeight="1">
      <c r="A29" s="1287"/>
      <c r="B29" s="1287"/>
      <c r="C29" s="1287"/>
      <c r="D29" s="1287"/>
      <c r="E29" s="1287"/>
      <c r="F29" s="1287"/>
      <c r="G29" s="1287"/>
      <c r="H29" s="1287"/>
      <c r="I29" s="1287"/>
      <c r="J29" s="1287"/>
      <c r="K29" s="1287"/>
      <c r="L29" s="1288"/>
      <c r="M29" s="1287"/>
      <c r="N29" s="1287"/>
      <c r="O29" s="1287"/>
      <c r="S29" s="2475" t="s">
        <v>41</v>
      </c>
      <c r="T29" s="2475"/>
      <c r="U29" s="1291"/>
      <c r="V29" s="2476" t="str">
        <f>IF(TITLE_NAME_OR_PR_CHANGE="",IF(TITLE_NAME_OR_PR="","",TITLE_NAME_OR_PR),TITLE_NAME_OR_PR_CHANGE)</f>
        <v/>
      </c>
      <c r="W29" s="2476"/>
      <c r="X29" s="2476"/>
      <c r="Y29" s="2476"/>
      <c r="Z29" s="2476"/>
      <c r="AA29" s="2476"/>
      <c r="AB29" s="2476"/>
      <c r="AC29" s="263"/>
      <c r="AD29" s="2476" t="str">
        <f>IF(TITLE_NAME_OR_PR_CHANGE="",IF(TITLE_NAME_OR_PR="","",TITLE_NAME_OR_PR),TITLE_NAME_OR_PR_CHANGE)</f>
        <v/>
      </c>
      <c r="AE29" s="2476"/>
      <c r="AF29" s="2476"/>
      <c r="AG29" s="2476"/>
      <c r="AH29" s="2476"/>
      <c r="AI29" s="2476"/>
      <c r="AJ29" s="2476"/>
      <c r="AK29" s="263"/>
      <c r="AL29" s="263"/>
      <c r="AM29" s="217"/>
      <c r="AN29" s="305"/>
      <c r="AO29" s="305"/>
      <c r="AP29" s="305"/>
      <c r="AQ29" s="305"/>
      <c r="AR29" s="305"/>
      <c r="AS29" s="355">
        <v>0</v>
      </c>
    </row>
    <row r="30" spans="1:45" s="2254" customFormat="1" ht="18.75" hidden="1" customHeight="1">
      <c r="A30" s="1287"/>
      <c r="B30" s="1287"/>
      <c r="C30" s="1287"/>
      <c r="D30" s="1287"/>
      <c r="E30" s="1287"/>
      <c r="F30" s="1287"/>
      <c r="G30" s="1287"/>
      <c r="H30" s="1287"/>
      <c r="I30" s="1287"/>
      <c r="J30" s="1287"/>
      <c r="K30" s="1287"/>
      <c r="L30" s="1288"/>
      <c r="M30" s="1287"/>
      <c r="N30" s="1287"/>
      <c r="O30" s="1287"/>
      <c r="S30" s="2475" t="s">
        <v>421</v>
      </c>
      <c r="T30" s="2475"/>
      <c r="U30" s="1291"/>
      <c r="V30" s="2485" t="str">
        <f>IF(TITLE_DATE_PR_CHANGE="",IF(TITLE_DATE_PR="","",TITLE_DATE_PR),TITLE_DATE_PR_CHANGE)</f>
        <v/>
      </c>
      <c r="W30" s="2485"/>
      <c r="X30" s="2485"/>
      <c r="Y30" s="2485"/>
      <c r="Z30" s="2485"/>
      <c r="AA30" s="2485"/>
      <c r="AB30" s="2485"/>
      <c r="AC30" s="263"/>
      <c r="AD30" s="2485" t="str">
        <f>IF(TITLE_DATE_PR_CHANGE="",IF(TITLE_DATE_PR="","",TITLE_DATE_PR),TITLE_DATE_PR_CHANGE)</f>
        <v/>
      </c>
      <c r="AE30" s="2485"/>
      <c r="AF30" s="2485"/>
      <c r="AG30" s="2485"/>
      <c r="AH30" s="2485"/>
      <c r="AI30" s="2485"/>
      <c r="AJ30" s="2485"/>
      <c r="AK30" s="263"/>
      <c r="AL30" s="263"/>
      <c r="AM30" s="217"/>
      <c r="AN30" s="305"/>
      <c r="AO30" s="305"/>
      <c r="AP30" s="305"/>
      <c r="AQ30" s="305"/>
      <c r="AR30" s="305"/>
      <c r="AS30" s="355">
        <v>0</v>
      </c>
    </row>
    <row r="31" spans="1:45" s="2254" customFormat="1" ht="18.75" hidden="1" customHeight="1">
      <c r="A31" s="1287"/>
      <c r="B31" s="1287"/>
      <c r="C31" s="1287"/>
      <c r="D31" s="1287"/>
      <c r="E31" s="1287"/>
      <c r="F31" s="1287"/>
      <c r="G31" s="1287"/>
      <c r="H31" s="1287"/>
      <c r="I31" s="1287"/>
      <c r="J31" s="1287"/>
      <c r="K31" s="1287"/>
      <c r="L31" s="1288"/>
      <c r="M31" s="1287"/>
      <c r="N31" s="1287"/>
      <c r="O31" s="1287"/>
      <c r="S31" s="2475" t="s">
        <v>422</v>
      </c>
      <c r="T31" s="2475"/>
      <c r="U31" s="1291"/>
      <c r="V31" s="2476" t="str">
        <f>IF(TITLE_NUMBER_PR_CHANGE="",IF(TITLE_NUMBER_PR="","",TITLE_NUMBER_PR),TITLE_NUMBER_PR_CHANGE)</f>
        <v/>
      </c>
      <c r="W31" s="2476"/>
      <c r="X31" s="2476"/>
      <c r="Y31" s="2476"/>
      <c r="Z31" s="2476"/>
      <c r="AA31" s="2476"/>
      <c r="AB31" s="2476"/>
      <c r="AC31" s="263"/>
      <c r="AD31" s="2476" t="str">
        <f>IF(TITLE_NUMBER_PR_CHANGE="",IF(TITLE_NUMBER_PR="","",TITLE_NUMBER_PR),TITLE_NUMBER_PR_CHANGE)</f>
        <v/>
      </c>
      <c r="AE31" s="2476"/>
      <c r="AF31" s="2476"/>
      <c r="AG31" s="2476"/>
      <c r="AH31" s="2476"/>
      <c r="AI31" s="2476"/>
      <c r="AJ31" s="2476"/>
      <c r="AK31" s="263"/>
      <c r="AL31" s="263"/>
      <c r="AM31" s="217"/>
      <c r="AN31" s="305"/>
      <c r="AO31" s="305"/>
      <c r="AP31" s="305"/>
      <c r="AQ31" s="305"/>
      <c r="AR31" s="305"/>
      <c r="AS31" s="355">
        <v>0</v>
      </c>
    </row>
    <row r="32" spans="1:45" s="2254" customFormat="1" ht="18.75" hidden="1" customHeight="1">
      <c r="A32" s="1287"/>
      <c r="B32" s="1287"/>
      <c r="C32" s="1287"/>
      <c r="D32" s="1287"/>
      <c r="E32" s="1287"/>
      <c r="F32" s="1287"/>
      <c r="G32" s="1287"/>
      <c r="H32" s="1287"/>
      <c r="I32" s="1287"/>
      <c r="J32" s="1287"/>
      <c r="K32" s="1287"/>
      <c r="L32" s="1288"/>
      <c r="M32" s="1287"/>
      <c r="N32" s="1287"/>
      <c r="O32" s="1287"/>
      <c r="S32" s="2475" t="s">
        <v>42</v>
      </c>
      <c r="T32" s="2475"/>
      <c r="U32" s="1291"/>
      <c r="V32" s="2476" t="str">
        <f>IF(TITLE_IST_PUB_CHANGE="",IF(TITLE_IST_PUB="","",TITLE_IST_PUB),TITLE_IST_PUB_CHANGE)</f>
        <v/>
      </c>
      <c r="W32" s="2476"/>
      <c r="X32" s="2476"/>
      <c r="Y32" s="2476"/>
      <c r="Z32" s="2476"/>
      <c r="AA32" s="2476"/>
      <c r="AB32" s="2476"/>
      <c r="AC32" s="263"/>
      <c r="AD32" s="2476" t="str">
        <f>IF(TITLE_IST_PUB_CHANGE="",IF(TITLE_IST_PUB="","",TITLE_IST_PUB),TITLE_IST_PUB_CHANGE)</f>
        <v/>
      </c>
      <c r="AE32" s="2476"/>
      <c r="AF32" s="2476"/>
      <c r="AG32" s="2476"/>
      <c r="AH32" s="2476"/>
      <c r="AI32" s="2476"/>
      <c r="AJ32" s="2476"/>
      <c r="AK32" s="263"/>
      <c r="AL32" s="263"/>
      <c r="AM32" s="217"/>
      <c r="AN32" s="305"/>
      <c r="AO32" s="305"/>
      <c r="AP32" s="305"/>
      <c r="AQ32" s="305"/>
      <c r="AR32" s="305"/>
      <c r="AS32" s="355">
        <v>0</v>
      </c>
    </row>
    <row r="33" spans="1:45" ht="14.25" hidden="1" customHeight="1">
      <c r="Q33" s="313"/>
      <c r="R33" s="313"/>
      <c r="S33" s="1194"/>
      <c r="T33" s="300"/>
      <c r="U33" s="300"/>
      <c r="V33" s="259"/>
      <c r="W33" s="259"/>
      <c r="X33" s="259"/>
      <c r="Y33" s="259"/>
      <c r="Z33" s="259"/>
      <c r="AA33" s="259"/>
      <c r="AB33" s="259"/>
      <c r="AC33" s="259"/>
      <c r="AD33" s="259"/>
      <c r="AE33" s="259"/>
      <c r="AF33" s="259"/>
      <c r="AG33" s="259"/>
      <c r="AH33" s="259"/>
      <c r="AI33" s="259"/>
      <c r="AJ33" s="259"/>
      <c r="AK33" s="259"/>
      <c r="AL33" s="446"/>
      <c r="AS33" s="1074">
        <v>0</v>
      </c>
    </row>
    <row r="34" spans="1:45" s="2254" customFormat="1" ht="18.75" hidden="1" customHeight="1">
      <c r="A34" s="1287"/>
      <c r="B34" s="1287"/>
      <c r="C34" s="1287"/>
      <c r="D34" s="1287"/>
      <c r="E34" s="1287"/>
      <c r="F34" s="1287"/>
      <c r="G34" s="1287"/>
      <c r="H34" s="1287"/>
      <c r="I34" s="1287"/>
      <c r="J34" s="1287"/>
      <c r="K34" s="1287"/>
      <c r="L34" s="1288"/>
      <c r="M34" s="1287"/>
      <c r="N34" s="1287"/>
      <c r="O34" s="1287"/>
      <c r="S34" s="2475" t="s">
        <v>423</v>
      </c>
      <c r="T34" s="2475"/>
      <c r="U34" s="1291"/>
      <c r="V34" s="2485" t="str">
        <f>IF(TITLE_DATE_PR_CHANGE="",IF(TITLE_DATE_PR="","",TITLE_DATE_PR),TITLE_DATE_PR_CHANGE)</f>
        <v/>
      </c>
      <c r="W34" s="2485"/>
      <c r="X34" s="2485"/>
      <c r="Y34" s="2485"/>
      <c r="Z34" s="2485"/>
      <c r="AA34" s="2485"/>
      <c r="AB34" s="2485"/>
      <c r="AC34" s="263"/>
      <c r="AD34" s="2485" t="str">
        <f>IF(TITLE_DATE_PR_CHANGE="",IF(TITLE_DATE_PR="","",TITLE_DATE_PR),TITLE_DATE_PR_CHANGE)</f>
        <v/>
      </c>
      <c r="AE34" s="2485"/>
      <c r="AF34" s="2485"/>
      <c r="AG34" s="2485"/>
      <c r="AH34" s="2485"/>
      <c r="AI34" s="2485"/>
      <c r="AJ34" s="2485"/>
      <c r="AK34" s="263"/>
      <c r="AL34" s="263"/>
      <c r="AM34" s="217"/>
      <c r="AN34" s="305"/>
      <c r="AO34" s="305"/>
      <c r="AP34" s="305"/>
      <c r="AQ34" s="305"/>
      <c r="AR34" s="305"/>
      <c r="AS34" s="355">
        <v>0</v>
      </c>
    </row>
    <row r="35" spans="1:45" s="2254" customFormat="1" ht="18.75" hidden="1" customHeight="1">
      <c r="A35" s="1287"/>
      <c r="B35" s="1287"/>
      <c r="C35" s="1287"/>
      <c r="D35" s="1287"/>
      <c r="E35" s="1287"/>
      <c r="F35" s="1287"/>
      <c r="G35" s="1287"/>
      <c r="H35" s="1287"/>
      <c r="I35" s="1287"/>
      <c r="J35" s="1287"/>
      <c r="K35" s="1287"/>
      <c r="L35" s="1288"/>
      <c r="M35" s="1287"/>
      <c r="N35" s="1287"/>
      <c r="O35" s="1287"/>
      <c r="S35" s="2475" t="s">
        <v>424</v>
      </c>
      <c r="T35" s="2475"/>
      <c r="U35" s="1291"/>
      <c r="V35" s="2476" t="str">
        <f>IF(TITLE_NUMBER_PR_CHANGE="",IF(TITLE_NUMBER_PR="","",TITLE_NUMBER_PR),TITLE_NUMBER_PR_CHANGE)</f>
        <v/>
      </c>
      <c r="W35" s="2476"/>
      <c r="X35" s="2476"/>
      <c r="Y35" s="2476"/>
      <c r="Z35" s="2476"/>
      <c r="AA35" s="2476"/>
      <c r="AB35" s="2476"/>
      <c r="AC35" s="263"/>
      <c r="AD35" s="2476" t="str">
        <f>IF(TITLE_NUMBER_PR_CHANGE="",IF(TITLE_NUMBER_PR="","",TITLE_NUMBER_PR),TITLE_NUMBER_PR_CHANGE)</f>
        <v/>
      </c>
      <c r="AE35" s="2476"/>
      <c r="AF35" s="2476"/>
      <c r="AG35" s="2476"/>
      <c r="AH35" s="2476"/>
      <c r="AI35" s="2476"/>
      <c r="AJ35" s="2476"/>
      <c r="AK35" s="263"/>
      <c r="AL35" s="263"/>
      <c r="AM35" s="217"/>
      <c r="AN35" s="305"/>
      <c r="AO35" s="305"/>
      <c r="AP35" s="305"/>
      <c r="AQ35" s="305"/>
      <c r="AR35" s="305"/>
      <c r="AS35" s="355">
        <v>0</v>
      </c>
    </row>
    <row r="36" spans="1:45" s="2254"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194"/>
      <c r="T37" s="300"/>
      <c r="U37" s="1163"/>
      <c r="V37" s="2477"/>
      <c r="W37" s="2477"/>
      <c r="X37" s="2477"/>
      <c r="Y37" s="2477"/>
      <c r="Z37" s="2477"/>
      <c r="AA37" s="2477"/>
      <c r="AB37" s="2477"/>
      <c r="AC37" s="2477"/>
      <c r="AD37" s="2477"/>
      <c r="AE37" s="2477"/>
      <c r="AF37" s="2477"/>
      <c r="AG37" s="2477"/>
      <c r="AH37" s="2477"/>
      <c r="AI37" s="2477"/>
      <c r="AJ37" s="2477"/>
      <c r="AK37" s="2477"/>
      <c r="AS37" s="1074">
        <v>14</v>
      </c>
    </row>
    <row r="38" spans="1:45" ht="14.65" customHeight="1">
      <c r="Q38" s="313"/>
      <c r="R38" s="313"/>
      <c r="S38" s="2363" t="s">
        <v>298</v>
      </c>
      <c r="T38" s="2363"/>
      <c r="U38" s="2363"/>
      <c r="V38" s="2363"/>
      <c r="W38" s="2363"/>
      <c r="X38" s="2363"/>
      <c r="Y38" s="2363"/>
      <c r="Z38" s="2363"/>
      <c r="AA38" s="2363"/>
      <c r="AB38" s="2363"/>
      <c r="AC38" s="2363"/>
      <c r="AD38" s="2363"/>
      <c r="AE38" s="2363"/>
      <c r="AF38" s="2363"/>
      <c r="AG38" s="2363"/>
      <c r="AH38" s="2363"/>
      <c r="AI38" s="2363"/>
      <c r="AJ38" s="2363"/>
      <c r="AK38" s="2363"/>
      <c r="AL38" s="2363"/>
      <c r="AM38" s="2363" t="s">
        <v>299</v>
      </c>
      <c r="AS38" s="1074">
        <v>14</v>
      </c>
    </row>
    <row r="39" spans="1:45" ht="14.65" customHeight="1">
      <c r="Q39" s="313"/>
      <c r="R39" s="313"/>
      <c r="S39" s="2491" t="s">
        <v>87</v>
      </c>
      <c r="T39" s="2442" t="s">
        <v>426</v>
      </c>
      <c r="U39" s="238"/>
      <c r="V39" s="2492" t="s">
        <v>427</v>
      </c>
      <c r="W39" s="2493"/>
      <c r="X39" s="2493"/>
      <c r="Y39" s="2493"/>
      <c r="Z39" s="2493"/>
      <c r="AA39" s="2493"/>
      <c r="AB39" s="2494"/>
      <c r="AC39" s="2495" t="s">
        <v>428</v>
      </c>
      <c r="AD39" s="2492" t="s">
        <v>427</v>
      </c>
      <c r="AE39" s="2493"/>
      <c r="AF39" s="2493"/>
      <c r="AG39" s="2493"/>
      <c r="AH39" s="2493"/>
      <c r="AI39" s="2493"/>
      <c r="AJ39" s="2494"/>
      <c r="AK39" s="2495" t="s">
        <v>429</v>
      </c>
      <c r="AL39" s="2498" t="s">
        <v>430</v>
      </c>
      <c r="AM39" s="2363"/>
      <c r="AS39" s="1074">
        <v>14</v>
      </c>
    </row>
    <row r="40" spans="1:45" ht="35.65" customHeight="1">
      <c r="Q40" s="313"/>
      <c r="R40" s="313"/>
      <c r="S40" s="2491"/>
      <c r="T40" s="2442"/>
      <c r="U40" s="955"/>
      <c r="V40" s="2411" t="s">
        <v>431</v>
      </c>
      <c r="W40" s="2501"/>
      <c r="X40" s="2335" t="s">
        <v>433</v>
      </c>
      <c r="Y40" s="2334"/>
      <c r="Z40" s="2335" t="s">
        <v>434</v>
      </c>
      <c r="AA40" s="2340"/>
      <c r="AB40" s="2334"/>
      <c r="AC40" s="2496"/>
      <c r="AD40" s="2411" t="s">
        <v>448</v>
      </c>
      <c r="AE40" s="2501"/>
      <c r="AF40" s="2335" t="s">
        <v>433</v>
      </c>
      <c r="AG40" s="2334"/>
      <c r="AH40" s="2335" t="s">
        <v>434</v>
      </c>
      <c r="AI40" s="2340"/>
      <c r="AJ40" s="2334"/>
      <c r="AK40" s="2496"/>
      <c r="AL40" s="2499"/>
      <c r="AM40" s="2363"/>
      <c r="AS40" s="1074">
        <v>34</v>
      </c>
    </row>
    <row r="41" spans="1:45" ht="35.65" customHeight="1">
      <c r="A41" s="1289"/>
      <c r="B41" s="1289" t="s">
        <v>135</v>
      </c>
      <c r="C41" s="1289" t="s">
        <v>136</v>
      </c>
      <c r="D41" s="1289" t="s">
        <v>137</v>
      </c>
      <c r="E41" s="1283" t="s">
        <v>435</v>
      </c>
      <c r="F41" s="1283" t="s">
        <v>436</v>
      </c>
      <c r="G41" s="1283" t="s">
        <v>437</v>
      </c>
      <c r="H41" s="1283" t="s">
        <v>438</v>
      </c>
      <c r="I41" s="1283" t="s">
        <v>439</v>
      </c>
      <c r="J41" s="1283" t="s">
        <v>440</v>
      </c>
      <c r="K41" s="1283" t="s">
        <v>441</v>
      </c>
      <c r="L41" s="1283" t="s">
        <v>416</v>
      </c>
      <c r="Q41" s="313"/>
      <c r="R41" s="313"/>
      <c r="S41" s="2491"/>
      <c r="T41" s="2442"/>
      <c r="U41" s="239"/>
      <c r="V41" s="2462"/>
      <c r="W41" s="2502"/>
      <c r="X41" s="1141" t="s">
        <v>442</v>
      </c>
      <c r="Y41" s="1141" t="s">
        <v>443</v>
      </c>
      <c r="Z41" s="1257" t="s">
        <v>444</v>
      </c>
      <c r="AA41" s="2451" t="s">
        <v>445</v>
      </c>
      <c r="AB41" s="2453"/>
      <c r="AC41" s="2497"/>
      <c r="AD41" s="2462"/>
      <c r="AE41" s="2502"/>
      <c r="AF41" s="1141" t="s">
        <v>442</v>
      </c>
      <c r="AG41" s="1141" t="s">
        <v>443</v>
      </c>
      <c r="AH41" s="1257" t="s">
        <v>444</v>
      </c>
      <c r="AI41" s="2451" t="s">
        <v>445</v>
      </c>
      <c r="AJ41" s="2453"/>
      <c r="AK41" s="2497"/>
      <c r="AL41" s="2500"/>
      <c r="AM41" s="2363"/>
      <c r="AS41" s="1074">
        <v>34</v>
      </c>
    </row>
    <row r="42" spans="1:45" s="2269"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108</v>
      </c>
      <c r="T42" s="1174" t="s">
        <v>109</v>
      </c>
      <c r="U42" s="1164" t="str">
        <f ca="1">OFFSET(U42,0,-1)</f>
        <v>2</v>
      </c>
      <c r="V42" s="1254">
        <f ca="1">OFFSET(V42,0,-1)+1</f>
        <v>3</v>
      </c>
      <c r="W42" s="1254"/>
      <c r="X42" s="1254">
        <f ca="1">OFFSET(X42,0,-1)+1</f>
        <v>1</v>
      </c>
      <c r="Y42" s="1254">
        <f ca="1">OFFSET(Y42,0,-1)+1</f>
        <v>2</v>
      </c>
      <c r="Z42" s="1254">
        <f ca="1">OFFSET(Z42,0,-1)+1</f>
        <v>3</v>
      </c>
      <c r="AA42" s="2490">
        <f ca="1">OFFSET(AA42,0,-1)+1</f>
        <v>4</v>
      </c>
      <c r="AB42" s="2490"/>
      <c r="AC42" s="1254">
        <f ca="1">OFFSET(AC42,0,-2)+1</f>
        <v>5</v>
      </c>
      <c r="AD42" s="1254">
        <f ca="1">OFFSET(AD42,0,-1)+1</f>
        <v>6</v>
      </c>
      <c r="AE42" s="1254"/>
      <c r="AF42" s="1254">
        <f ca="1">OFFSET(AF42,0,-1)+1</f>
        <v>1</v>
      </c>
      <c r="AG42" s="1254">
        <f ca="1">OFFSET(AG42,0,-1)+1</f>
        <v>2</v>
      </c>
      <c r="AH42" s="1254">
        <f ca="1">OFFSET(AH42,0,-1)+1</f>
        <v>3</v>
      </c>
      <c r="AI42" s="2490">
        <f ca="1">OFFSET(AI42,0,-1)+1</f>
        <v>4</v>
      </c>
      <c r="AJ42" s="2490"/>
      <c r="AK42" s="1254">
        <f ca="1">OFFSET(AK42,0,-2)+1</f>
        <v>5</v>
      </c>
      <c r="AL42" s="1164">
        <f ca="1">OFFSET(AL42,0,-1)</f>
        <v>5</v>
      </c>
      <c r="AM42" s="1254">
        <f ca="1">OFFSET(AM42,0,-1)+1</f>
        <v>6</v>
      </c>
      <c r="AN42" s="448"/>
      <c r="AO42" s="448"/>
      <c r="AP42" s="448"/>
      <c r="AQ42" s="448"/>
      <c r="AR42" s="448"/>
      <c r="AS42" s="433">
        <v>0</v>
      </c>
    </row>
    <row r="43" spans="1:45" ht="21.95" customHeight="1">
      <c r="A43" s="1282" t="s">
        <v>180</v>
      </c>
      <c r="B43" s="1282"/>
      <c r="C43" s="1282"/>
      <c r="D43" s="1282"/>
      <c r="E43" s="2483">
        <v>1</v>
      </c>
      <c r="F43" s="1282"/>
      <c r="G43" s="1282"/>
      <c r="H43" s="1282"/>
      <c r="I43" s="1282"/>
      <c r="J43" s="1282"/>
      <c r="K43" s="1282"/>
      <c r="L43" s="1283"/>
      <c r="M43" s="1284"/>
      <c r="N43" s="1284"/>
      <c r="O43" s="1284"/>
      <c r="P43" s="298"/>
      <c r="Q43" s="297"/>
      <c r="R43" s="292"/>
      <c r="S43" s="1255">
        <f>INDEX(PT_DIFFERENTIATION_NUM_NTAR,MATCH(A43,PT_DIFFERENTIATION_NTAR_ID,0))</f>
        <v>0</v>
      </c>
      <c r="T43" s="235" t="s">
        <v>123</v>
      </c>
      <c r="U43" s="237"/>
      <c r="V43" s="2469"/>
      <c r="W43" s="2470"/>
      <c r="X43" s="2470"/>
      <c r="Y43" s="2470"/>
      <c r="Z43" s="2470"/>
      <c r="AA43" s="2470"/>
      <c r="AB43" s="2470"/>
      <c r="AC43" s="2471"/>
      <c r="AD43" s="2469" t="str">
        <f>INDEX(PT_DIFFERENTIATION_NTAR,MATCH(A43,PT_DIFFERENTIATION_NTAR_ID,0))</f>
        <v/>
      </c>
      <c r="AE43" s="2470"/>
      <c r="AF43" s="2470"/>
      <c r="AG43" s="2470"/>
      <c r="AH43" s="2470"/>
      <c r="AI43" s="2470"/>
      <c r="AJ43" s="2470"/>
      <c r="AK43" s="2470"/>
      <c r="AL43" s="2471"/>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4">
        <v>21</v>
      </c>
    </row>
    <row r="44" spans="1:45" ht="21.95" customHeight="1">
      <c r="A44" s="1282" t="s">
        <v>180</v>
      </c>
      <c r="B44" s="1282" t="s">
        <v>181</v>
      </c>
      <c r="C44" s="1282"/>
      <c r="D44" s="1282"/>
      <c r="E44" s="2484"/>
      <c r="F44" s="2483">
        <v>1</v>
      </c>
      <c r="G44" s="1282"/>
      <c r="H44" s="1282"/>
      <c r="I44" s="1282"/>
      <c r="J44" s="1282"/>
      <c r="K44" s="1282"/>
      <c r="L44" s="1283"/>
      <c r="M44" s="1284"/>
      <c r="N44" s="1284"/>
      <c r="O44" s="1284"/>
      <c r="P44" s="1251"/>
      <c r="Q44" s="289"/>
      <c r="R44" s="290"/>
      <c r="S44" s="1255" t="str">
        <f>INDEX(PT_DIFFERENTIATION_NUM_TER,MATCH(B44,PT_DIFFERENTIATION_TER_ID,0))</f>
        <v>.</v>
      </c>
      <c r="T44" s="245" t="s">
        <v>395</v>
      </c>
      <c r="U44" s="237"/>
      <c r="V44" s="2469"/>
      <c r="W44" s="2470"/>
      <c r="X44" s="2470"/>
      <c r="Y44" s="2470"/>
      <c r="Z44" s="2470"/>
      <c r="AA44" s="2470"/>
      <c r="AB44" s="2470"/>
      <c r="AC44" s="2471"/>
      <c r="AD44" s="2469" t="str">
        <f>INDEX(PT_DIFFERENTIATION_TER,MATCH(B44,PT_DIFFERENTIATION_TER_ID,0))</f>
        <v/>
      </c>
      <c r="AE44" s="2470"/>
      <c r="AF44" s="2470"/>
      <c r="AG44" s="2470"/>
      <c r="AH44" s="2470"/>
      <c r="AI44" s="2470"/>
      <c r="AJ44" s="2470"/>
      <c r="AK44" s="2470"/>
      <c r="AL44" s="2471"/>
      <c r="AM44" s="1177" t="s">
        <v>396</v>
      </c>
      <c r="AO44" s="437"/>
      <c r="AP44" s="437" t="str">
        <f t="shared" si="1"/>
        <v>Территория действия тарифа</v>
      </c>
      <c r="AQ44" s="437"/>
      <c r="AR44" s="437"/>
      <c r="AS44" s="1074">
        <v>21</v>
      </c>
    </row>
    <row r="45" spans="1:45" ht="24" customHeight="1">
      <c r="A45" s="1282" t="s">
        <v>180</v>
      </c>
      <c r="B45" s="1282" t="s">
        <v>181</v>
      </c>
      <c r="C45" s="1282" t="s">
        <v>182</v>
      </c>
      <c r="D45" s="1282"/>
      <c r="E45" s="2484"/>
      <c r="F45" s="2484"/>
      <c r="G45" s="2483">
        <v>1</v>
      </c>
      <c r="H45" s="1282"/>
      <c r="I45" s="1282"/>
      <c r="J45" s="1282"/>
      <c r="K45" s="1282"/>
      <c r="L45" s="1283"/>
      <c r="M45" s="1284"/>
      <c r="N45" s="1284"/>
      <c r="O45" s="1284"/>
      <c r="P45" s="291"/>
      <c r="Q45" s="289"/>
      <c r="R45" s="290"/>
      <c r="S45" s="1255" t="str">
        <f>INDEX(PT_DIFFERENTIATION_NUM_CS,MATCH(C45,PT_DIFFERENTIATION_CS_ID,0))</f>
        <v>..</v>
      </c>
      <c r="T45" s="246" t="s">
        <v>397</v>
      </c>
      <c r="U45" s="237"/>
      <c r="V45" s="2469"/>
      <c r="W45" s="2470"/>
      <c r="X45" s="2470"/>
      <c r="Y45" s="2470"/>
      <c r="Z45" s="2470"/>
      <c r="AA45" s="2470"/>
      <c r="AB45" s="2470"/>
      <c r="AC45" s="2471"/>
      <c r="AD45" s="2469" t="str">
        <f>INDEX(PT_DIFFERENTIATION_CS,MATCH(C45,PT_DIFFERENTIATION_CS_ID,0))</f>
        <v/>
      </c>
      <c r="AE45" s="2470"/>
      <c r="AF45" s="2470"/>
      <c r="AG45" s="2470"/>
      <c r="AH45" s="2470"/>
      <c r="AI45" s="2470"/>
      <c r="AJ45" s="2470"/>
      <c r="AK45" s="2470"/>
      <c r="AL45" s="2471"/>
      <c r="AM45" s="1177" t="s">
        <v>398</v>
      </c>
      <c r="AO45" s="437"/>
      <c r="AP45" s="437" t="str">
        <f t="shared" si="1"/>
        <v xml:space="preserve">Наименование системы теплоснабжения </v>
      </c>
      <c r="AQ45" s="437"/>
      <c r="AR45" s="437"/>
      <c r="AS45" s="1074">
        <v>23</v>
      </c>
    </row>
    <row r="46" spans="1:45" ht="21.95" customHeight="1">
      <c r="A46" s="1282" t="s">
        <v>180</v>
      </c>
      <c r="B46" s="1282" t="s">
        <v>181</v>
      </c>
      <c r="C46" s="1282" t="s">
        <v>182</v>
      </c>
      <c r="D46" s="1282" t="s">
        <v>183</v>
      </c>
      <c r="E46" s="2484"/>
      <c r="F46" s="2484"/>
      <c r="G46" s="2484"/>
      <c r="H46" s="2483">
        <v>1</v>
      </c>
      <c r="I46" s="1282"/>
      <c r="J46" s="1282"/>
      <c r="K46" s="1282"/>
      <c r="L46" s="1283"/>
      <c r="M46" s="1284"/>
      <c r="N46" s="1284"/>
      <c r="O46" s="1284"/>
      <c r="P46" s="291"/>
      <c r="Q46" s="289"/>
      <c r="R46" s="290"/>
      <c r="S46" s="1255" t="str">
        <f>INDEX(PT_DIFFERENTIATION_NUM_IST_TE,MATCH(D46,PT_DIFFERENTIATION_IST_TE_ID,0))</f>
        <v>...</v>
      </c>
      <c r="T46" s="247" t="s">
        <v>399</v>
      </c>
      <c r="U46" s="237"/>
      <c r="V46" s="2469"/>
      <c r="W46" s="2470"/>
      <c r="X46" s="2470"/>
      <c r="Y46" s="2470"/>
      <c r="Z46" s="2470"/>
      <c r="AA46" s="2470"/>
      <c r="AB46" s="2470"/>
      <c r="AC46" s="2471"/>
      <c r="AD46" s="2469" t="str">
        <f>INDEX(PT_DIFFERENTIATION_IST_TE,MATCH(D46,PT_DIFFERENTIATION_IST_TE_ID,0))</f>
        <v/>
      </c>
      <c r="AE46" s="2470"/>
      <c r="AF46" s="2470"/>
      <c r="AG46" s="2470"/>
      <c r="AH46" s="2470"/>
      <c r="AI46" s="2470"/>
      <c r="AJ46" s="2470"/>
      <c r="AK46" s="2470"/>
      <c r="AL46" s="2471"/>
      <c r="AM46" s="1177" t="s">
        <v>400</v>
      </c>
      <c r="AO46" s="437"/>
      <c r="AP46" s="437" t="str">
        <f t="shared" si="1"/>
        <v xml:space="preserve">Источник тепловой энергии  </v>
      </c>
      <c r="AQ46" s="437"/>
      <c r="AR46" s="437"/>
      <c r="AS46" s="1074">
        <v>21</v>
      </c>
    </row>
    <row r="47" spans="1:45" s="2245" customFormat="1" ht="0" hidden="1" customHeight="1">
      <c r="A47" s="1262" t="s">
        <v>180</v>
      </c>
      <c r="B47" s="1262" t="s">
        <v>181</v>
      </c>
      <c r="C47" s="1262" t="s">
        <v>182</v>
      </c>
      <c r="D47" s="1262" t="s">
        <v>183</v>
      </c>
      <c r="E47" s="2484"/>
      <c r="F47" s="2484"/>
      <c r="G47" s="2484"/>
      <c r="H47" s="2484"/>
      <c r="I47" s="2481" t="str">
        <f>S46&amp;".1"</f>
        <v>....1</v>
      </c>
      <c r="J47" s="1262"/>
      <c r="K47" s="1262"/>
      <c r="L47" s="1265" t="s">
        <v>401</v>
      </c>
      <c r="M47" s="447"/>
      <c r="N47" s="447"/>
      <c r="O47" s="447"/>
      <c r="P47" s="2482">
        <v>1</v>
      </c>
      <c r="Q47" s="1250"/>
      <c r="R47" s="293"/>
      <c r="S47" s="966"/>
      <c r="T47" s="1302"/>
      <c r="U47" s="1303"/>
      <c r="V47" s="2512"/>
      <c r="W47" s="2513"/>
      <c r="X47" s="2513"/>
      <c r="Y47" s="2513"/>
      <c r="Z47" s="2513"/>
      <c r="AA47" s="2513"/>
      <c r="AB47" s="2513"/>
      <c r="AC47" s="2514"/>
      <c r="AD47" s="2512"/>
      <c r="AE47" s="2513"/>
      <c r="AF47" s="2513"/>
      <c r="AG47" s="2513"/>
      <c r="AH47" s="2513"/>
      <c r="AI47" s="2513"/>
      <c r="AJ47" s="2513"/>
      <c r="AK47" s="2513"/>
      <c r="AL47" s="2514"/>
      <c r="AM47" s="1304"/>
      <c r="AO47" s="437"/>
      <c r="AP47" s="437" t="str">
        <f t="shared" si="1"/>
        <v/>
      </c>
      <c r="AQ47" s="437"/>
      <c r="AR47" s="437"/>
      <c r="AS47" s="448">
        <v>0</v>
      </c>
    </row>
    <row r="48" spans="1:45" ht="21.95" customHeight="1">
      <c r="A48" s="1282" t="s">
        <v>180</v>
      </c>
      <c r="B48" s="1282" t="s">
        <v>181</v>
      </c>
      <c r="C48" s="1282" t="s">
        <v>182</v>
      </c>
      <c r="D48" s="1282" t="s">
        <v>183</v>
      </c>
      <c r="E48" s="2484"/>
      <c r="F48" s="2484"/>
      <c r="G48" s="2484"/>
      <c r="H48" s="2484"/>
      <c r="I48" s="2504"/>
      <c r="J48" s="2481" t="str">
        <f>S46&amp;".1"</f>
        <v>....1</v>
      </c>
      <c r="K48" s="1282"/>
      <c r="L48" s="1283" t="s">
        <v>404</v>
      </c>
      <c r="P48" s="2482"/>
      <c r="Q48" s="2482">
        <v>1</v>
      </c>
      <c r="R48" s="294"/>
      <c r="S48" s="1255" t="str">
        <f>$J48</f>
        <v>....1</v>
      </c>
      <c r="T48" s="223" t="s">
        <v>405</v>
      </c>
      <c r="U48" s="237"/>
      <c r="V48" s="2472"/>
      <c r="W48" s="2473"/>
      <c r="X48" s="2473"/>
      <c r="Y48" s="2473"/>
      <c r="Z48" s="2473"/>
      <c r="AA48" s="2473"/>
      <c r="AB48" s="2473"/>
      <c r="AC48" s="2474"/>
      <c r="AD48" s="2472"/>
      <c r="AE48" s="2473"/>
      <c r="AF48" s="2473"/>
      <c r="AG48" s="2473"/>
      <c r="AH48" s="2473"/>
      <c r="AI48" s="2473"/>
      <c r="AJ48" s="2473"/>
      <c r="AK48" s="2473"/>
      <c r="AL48" s="2474"/>
      <c r="AM48" s="1177" t="s">
        <v>406</v>
      </c>
      <c r="AO48" s="437"/>
      <c r="AP48" s="437" t="str">
        <f t="shared" si="1"/>
        <v>Группа потребителей</v>
      </c>
      <c r="AQ48" s="437"/>
      <c r="AR48" s="437"/>
      <c r="AS48" s="1074">
        <v>21</v>
      </c>
    </row>
    <row r="49" spans="1:45" ht="21.95" customHeight="1">
      <c r="A49" s="1282" t="s">
        <v>180</v>
      </c>
      <c r="B49" s="1282" t="s">
        <v>181</v>
      </c>
      <c r="C49" s="1282" t="s">
        <v>182</v>
      </c>
      <c r="D49" s="1282" t="s">
        <v>183</v>
      </c>
      <c r="E49" s="2484"/>
      <c r="F49" s="2484"/>
      <c r="G49" s="2484"/>
      <c r="H49" s="2484"/>
      <c r="I49" s="2504"/>
      <c r="J49" s="2504"/>
      <c r="K49" s="2481" t="str">
        <f>J48&amp;".1"</f>
        <v>....1.1</v>
      </c>
      <c r="L49" s="1283" t="s">
        <v>407</v>
      </c>
      <c r="P49" s="2482"/>
      <c r="Q49" s="2482"/>
      <c r="R49" s="294">
        <v>1</v>
      </c>
      <c r="S49" s="1255" t="str">
        <f>$K49</f>
        <v>....1.1</v>
      </c>
      <c r="T49" s="1266"/>
      <c r="U49" s="237"/>
      <c r="V49" s="688"/>
      <c r="W49" s="262"/>
      <c r="X49" s="688"/>
      <c r="Y49" s="1176"/>
      <c r="Z49" s="2486"/>
      <c r="AA49" s="2344" t="s">
        <v>64</v>
      </c>
      <c r="AB49" s="2486"/>
      <c r="AC49" s="2344" t="s">
        <v>64</v>
      </c>
      <c r="AD49" s="688"/>
      <c r="AE49" s="262"/>
      <c r="AF49" s="688"/>
      <c r="AG49" s="1176"/>
      <c r="AH49" s="2486"/>
      <c r="AI49" s="2344" t="s">
        <v>64</v>
      </c>
      <c r="AJ49" s="2505"/>
      <c r="AK49" s="2344" t="s">
        <v>64</v>
      </c>
      <c r="AL49" s="1267"/>
      <c r="AM49" s="2478" t="s">
        <v>449</v>
      </c>
      <c r="AN49" s="448" t="e">
        <f ca="1">STRCHECKDATE(V50:AL50)</f>
        <v>#NAME?</v>
      </c>
      <c r="AO49" s="437"/>
      <c r="AP49" s="437" t="str">
        <f t="shared" si="1"/>
        <v/>
      </c>
      <c r="AQ49" s="437"/>
      <c r="AR49" s="437"/>
      <c r="AS49" s="1074">
        <v>21</v>
      </c>
    </row>
    <row r="50" spans="1:45" ht="1.1499999999999999" customHeight="1">
      <c r="A50" s="1282" t="s">
        <v>180</v>
      </c>
      <c r="B50" s="1282" t="s">
        <v>181</v>
      </c>
      <c r="C50" s="1282" t="s">
        <v>182</v>
      </c>
      <c r="D50" s="1282" t="s">
        <v>183</v>
      </c>
      <c r="E50" s="2484"/>
      <c r="F50" s="2484"/>
      <c r="G50" s="2484"/>
      <c r="H50" s="2484"/>
      <c r="I50" s="2504"/>
      <c r="J50" s="2504"/>
      <c r="K50" s="2481"/>
      <c r="L50" s="1283"/>
      <c r="P50" s="2482"/>
      <c r="Q50" s="2482"/>
      <c r="R50" s="294"/>
      <c r="S50" s="1261"/>
      <c r="T50" s="237"/>
      <c r="U50" s="237"/>
      <c r="V50" s="262"/>
      <c r="W50" s="262"/>
      <c r="X50" s="262"/>
      <c r="Y50" s="265" t="str">
        <f>Z49&amp;"-"&amp;AB49</f>
        <v>-</v>
      </c>
      <c r="Z50" s="2487"/>
      <c r="AA50" s="2344"/>
      <c r="AB50" s="2487"/>
      <c r="AC50" s="2344"/>
      <c r="AD50" s="262"/>
      <c r="AE50" s="262"/>
      <c r="AF50" s="262"/>
      <c r="AG50" s="265" t="str">
        <f>AH49&amp;"-"&amp;AJ49</f>
        <v>-</v>
      </c>
      <c r="AH50" s="2487"/>
      <c r="AI50" s="2344"/>
      <c r="AJ50" s="2506"/>
      <c r="AK50" s="2344"/>
      <c r="AL50" s="1268"/>
      <c r="AM50" s="2479"/>
      <c r="AO50" s="437"/>
      <c r="AP50" s="437" t="str">
        <f t="shared" si="1"/>
        <v/>
      </c>
      <c r="AQ50" s="437"/>
      <c r="AR50" s="437"/>
      <c r="AS50" s="1074">
        <v>1</v>
      </c>
    </row>
    <row r="51" spans="1:45" ht="11.45" customHeight="1">
      <c r="A51" s="1282" t="s">
        <v>180</v>
      </c>
      <c r="B51" s="1282" t="s">
        <v>181</v>
      </c>
      <c r="C51" s="1282" t="s">
        <v>182</v>
      </c>
      <c r="D51" s="1282" t="s">
        <v>183</v>
      </c>
      <c r="E51" s="2484"/>
      <c r="F51" s="2484"/>
      <c r="G51" s="2484"/>
      <c r="H51" s="2484"/>
      <c r="I51" s="2504"/>
      <c r="J51" s="2481"/>
      <c r="K51" s="1282"/>
      <c r="L51" s="1283"/>
      <c r="P51" s="2482"/>
      <c r="Q51" s="2482"/>
      <c r="R51" s="293"/>
      <c r="S51" s="1197"/>
      <c r="T51" s="224" t="s">
        <v>409</v>
      </c>
      <c r="U51" s="304"/>
      <c r="V51" s="304"/>
      <c r="W51" s="304"/>
      <c r="X51" s="304"/>
      <c r="Y51" s="304"/>
      <c r="Z51" s="304"/>
      <c r="AA51" s="304"/>
      <c r="AB51" s="304"/>
      <c r="AC51" s="304"/>
      <c r="AD51" s="304"/>
      <c r="AE51" s="304"/>
      <c r="AF51" s="304"/>
      <c r="AG51" s="304"/>
      <c r="AH51" s="304"/>
      <c r="AI51" s="304"/>
      <c r="AJ51" s="304"/>
      <c r="AK51" s="304"/>
      <c r="AL51" s="261"/>
      <c r="AM51" s="2480"/>
      <c r="AO51" s="437"/>
      <c r="AP51" s="437" t="str">
        <f t="shared" si="1"/>
        <v>Добавить вид теплоносителя (параметры теплоносителя)</v>
      </c>
      <c r="AQ51" s="437"/>
      <c r="AR51" s="437"/>
      <c r="AS51" s="1074">
        <v>11</v>
      </c>
    </row>
    <row r="52" spans="1:45" ht="11.45" customHeight="1">
      <c r="A52" s="1282" t="s">
        <v>180</v>
      </c>
      <c r="B52" s="1282" t="s">
        <v>181</v>
      </c>
      <c r="C52" s="1282" t="s">
        <v>182</v>
      </c>
      <c r="D52" s="1282" t="s">
        <v>183</v>
      </c>
      <c r="E52" s="2484"/>
      <c r="F52" s="2484"/>
      <c r="G52" s="2484"/>
      <c r="H52" s="2484"/>
      <c r="I52" s="2481"/>
      <c r="J52" s="1282"/>
      <c r="K52" s="1282"/>
      <c r="L52" s="1283"/>
      <c r="P52" s="2482"/>
      <c r="Q52" s="1250"/>
      <c r="R52" s="293"/>
      <c r="S52" s="1197"/>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4">
        <v>11</v>
      </c>
    </row>
    <row r="53" spans="1:45" ht="0" hidden="1" customHeight="1">
      <c r="A53" s="1282" t="s">
        <v>180</v>
      </c>
      <c r="B53" s="1282" t="s">
        <v>181</v>
      </c>
      <c r="C53" s="1282" t="s">
        <v>182</v>
      </c>
      <c r="D53" s="1282" t="s">
        <v>183</v>
      </c>
      <c r="E53" s="2484"/>
      <c r="F53" s="2484"/>
      <c r="G53" s="2484"/>
      <c r="H53" s="2483"/>
      <c r="I53" s="1282"/>
      <c r="J53" s="1282"/>
      <c r="K53" s="1282"/>
      <c r="L53" s="1283"/>
      <c r="M53" s="1284"/>
      <c r="N53" s="1284"/>
      <c r="O53" s="474"/>
      <c r="P53" s="297"/>
      <c r="Q53" s="312"/>
      <c r="R53" s="292"/>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7"/>
      <c r="AP53" s="437" t="str">
        <f t="shared" si="1"/>
        <v/>
      </c>
      <c r="AQ53" s="437"/>
      <c r="AR53" s="437"/>
      <c r="AS53" s="1074">
        <v>0</v>
      </c>
    </row>
    <row r="54" spans="1:45" s="2245" customFormat="1" ht="1.1499999999999999" customHeight="1">
      <c r="A54" s="1262" t="s">
        <v>180</v>
      </c>
      <c r="B54" s="1262" t="s">
        <v>181</v>
      </c>
      <c r="C54" s="1262" t="s">
        <v>182</v>
      </c>
      <c r="D54" s="1233"/>
      <c r="E54" s="2484"/>
      <c r="F54" s="2484"/>
      <c r="G54" s="2483"/>
      <c r="H54" s="1233"/>
      <c r="I54" s="1233"/>
      <c r="J54" s="1233"/>
      <c r="K54" s="1233"/>
      <c r="L54" s="1258"/>
      <c r="M54" s="1234"/>
      <c r="N54" s="1234"/>
      <c r="P54" s="1235"/>
      <c r="Q54" s="1236"/>
      <c r="R54" s="1235"/>
      <c r="S54" s="1241"/>
      <c r="T54" s="1244" t="s">
        <v>412</v>
      </c>
      <c r="U54" s="1243"/>
      <c r="V54" s="1243"/>
      <c r="W54" s="1243"/>
      <c r="X54" s="1243"/>
      <c r="Y54" s="1243"/>
      <c r="Z54" s="1243"/>
      <c r="AA54" s="1243"/>
      <c r="AB54" s="1243"/>
      <c r="AC54" s="1243"/>
      <c r="AD54" s="1243"/>
      <c r="AE54" s="1243"/>
      <c r="AF54" s="1243"/>
      <c r="AG54" s="1243"/>
      <c r="AH54" s="1243"/>
      <c r="AI54" s="1243"/>
      <c r="AJ54" s="1243"/>
      <c r="AK54" s="1243"/>
      <c r="AL54" s="1243"/>
      <c r="AM54" s="1243"/>
      <c r="AO54" s="720"/>
      <c r="AP54" s="720" t="str">
        <f t="shared" si="1"/>
        <v>Добавить источник для дифференциации</v>
      </c>
      <c r="AQ54" s="720"/>
      <c r="AR54" s="720"/>
      <c r="AS54" s="455">
        <v>1</v>
      </c>
    </row>
    <row r="55" spans="1:45" s="2245" customFormat="1" ht="1.1499999999999999" customHeight="1">
      <c r="A55" s="1262" t="s">
        <v>180</v>
      </c>
      <c r="B55" s="1262" t="s">
        <v>181</v>
      </c>
      <c r="C55" s="1233"/>
      <c r="D55" s="1233"/>
      <c r="E55" s="2484"/>
      <c r="F55" s="2483"/>
      <c r="G55" s="1233"/>
      <c r="H55" s="1233"/>
      <c r="I55" s="1233"/>
      <c r="J55" s="1233"/>
      <c r="K55" s="1233"/>
      <c r="L55" s="1258"/>
      <c r="M55" s="1240"/>
      <c r="N55" s="1240"/>
      <c r="P55" s="1235"/>
      <c r="Q55" s="1236"/>
      <c r="R55" s="1235"/>
      <c r="S55" s="1241"/>
      <c r="T55" s="1244" t="s">
        <v>413</v>
      </c>
      <c r="U55" s="1243"/>
      <c r="V55" s="1243"/>
      <c r="W55" s="1243"/>
      <c r="X55" s="1243"/>
      <c r="Y55" s="1243"/>
      <c r="Z55" s="1243"/>
      <c r="AA55" s="1243"/>
      <c r="AB55" s="1243"/>
      <c r="AC55" s="1243"/>
      <c r="AD55" s="1243"/>
      <c r="AE55" s="1243"/>
      <c r="AF55" s="1243"/>
      <c r="AG55" s="1243"/>
      <c r="AH55" s="1243"/>
      <c r="AI55" s="1243"/>
      <c r="AJ55" s="1243"/>
      <c r="AK55" s="1243"/>
      <c r="AL55" s="1243"/>
      <c r="AM55" s="1243"/>
      <c r="AO55" s="720"/>
      <c r="AP55" s="720" t="str">
        <f t="shared" si="1"/>
        <v>Добавить централизованную систему для дифференциации</v>
      </c>
      <c r="AQ55" s="720"/>
      <c r="AR55" s="720"/>
      <c r="AS55" s="455">
        <v>1</v>
      </c>
    </row>
    <row r="56" spans="1:45" s="2245" customFormat="1" ht="1.1499999999999999" customHeight="1">
      <c r="A56" s="1262" t="s">
        <v>180</v>
      </c>
      <c r="B56" s="1262"/>
      <c r="C56" s="1262"/>
      <c r="D56" s="1262"/>
      <c r="E56" s="2483"/>
      <c r="F56" s="1262"/>
      <c r="G56" s="1262"/>
      <c r="H56" s="1262"/>
      <c r="I56" s="1262"/>
      <c r="J56" s="1262"/>
      <c r="K56" s="1262"/>
      <c r="L56" s="1265"/>
      <c r="M56" s="1240"/>
      <c r="N56" s="1240"/>
      <c r="O56" s="455"/>
      <c r="P56" s="317"/>
      <c r="Q56" s="1263"/>
      <c r="R56" s="317"/>
      <c r="S56" s="1241"/>
      <c r="T56" s="1244" t="s">
        <v>414</v>
      </c>
      <c r="U56" s="1243"/>
      <c r="V56" s="1243"/>
      <c r="W56" s="1243"/>
      <c r="X56" s="1243"/>
      <c r="Y56" s="1243"/>
      <c r="Z56" s="1243"/>
      <c r="AA56" s="1243"/>
      <c r="AB56" s="1243"/>
      <c r="AC56" s="1243"/>
      <c r="AD56" s="1243"/>
      <c r="AE56" s="1243"/>
      <c r="AF56" s="1243"/>
      <c r="AG56" s="1243"/>
      <c r="AH56" s="1243"/>
      <c r="AI56" s="1243"/>
      <c r="AJ56" s="1243"/>
      <c r="AK56" s="1243"/>
      <c r="AL56" s="1243"/>
      <c r="AM56" s="1243"/>
      <c r="AO56" s="437"/>
      <c r="AP56" s="437" t="str">
        <f t="shared" si="1"/>
        <v>Добавить территорию для дифференциации</v>
      </c>
      <c r="AQ56" s="437"/>
      <c r="AR56" s="437"/>
      <c r="AS56" s="448">
        <v>1</v>
      </c>
    </row>
    <row r="57" spans="1:45" s="224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446</v>
      </c>
      <c r="U57" s="1243"/>
      <c r="V57" s="1243"/>
      <c r="W57" s="1243"/>
      <c r="X57" s="1243"/>
      <c r="Y57" s="1243"/>
      <c r="Z57" s="1243"/>
      <c r="AA57" s="1243"/>
      <c r="AB57" s="1243"/>
      <c r="AC57" s="1243"/>
      <c r="AD57" s="1243"/>
      <c r="AE57" s="1243"/>
      <c r="AF57" s="1243"/>
      <c r="AG57" s="1243"/>
      <c r="AH57" s="1243"/>
      <c r="AI57" s="1243"/>
      <c r="AJ57" s="1243"/>
      <c r="AK57" s="1243"/>
      <c r="AL57" s="1243"/>
      <c r="AM57" s="1243"/>
      <c r="AO57" s="720"/>
      <c r="AP57" s="720" t="str">
        <f t="shared" si="1"/>
        <v>Добавить наименование тарифа</v>
      </c>
      <c r="AQ57" s="720"/>
      <c r="AR57" s="720"/>
      <c r="AS57" s="455">
        <v>1</v>
      </c>
    </row>
    <row r="58" spans="1:45" ht="11.45" customHeight="1">
      <c r="M58" s="1079"/>
      <c r="N58" s="1079"/>
      <c r="O58" s="474"/>
      <c r="P58" s="1074"/>
      <c r="Q58" s="1074"/>
      <c r="R58" s="1074"/>
      <c r="S58" s="1074"/>
      <c r="AN58" s="1074"/>
      <c r="AO58" s="1074"/>
      <c r="AP58" s="1074"/>
      <c r="AQ58" s="1074"/>
      <c r="AR58" s="1074"/>
      <c r="AS58" s="1074">
        <v>11</v>
      </c>
    </row>
    <row r="59" spans="1:45" ht="23.25" customHeight="1">
      <c r="O59" s="474"/>
      <c r="S59" s="1172"/>
      <c r="T59" s="2503"/>
      <c r="U59" s="2503"/>
      <c r="V59" s="2503"/>
      <c r="W59" s="2503"/>
      <c r="X59" s="2503"/>
      <c r="Y59" s="2503"/>
      <c r="Z59" s="2503"/>
      <c r="AA59" s="2503"/>
      <c r="AB59" s="2503"/>
      <c r="AC59" s="2503"/>
      <c r="AD59" s="2503"/>
      <c r="AE59" s="2503"/>
      <c r="AF59" s="2503"/>
      <c r="AG59" s="2503"/>
      <c r="AH59" s="2503"/>
      <c r="AI59" s="2503"/>
      <c r="AJ59" s="2503"/>
      <c r="AK59" s="2503"/>
      <c r="AL59" s="2503"/>
      <c r="AM59" s="2503"/>
      <c r="AS59" s="1074">
        <v>22</v>
      </c>
    </row>
    <row r="60" spans="1:45" ht="30.4" customHeight="1">
      <c r="O60" s="474"/>
      <c r="T60" s="2503"/>
      <c r="U60" s="2503"/>
      <c r="V60" s="2503"/>
      <c r="W60" s="2503"/>
      <c r="X60" s="2503"/>
      <c r="Y60" s="2503"/>
      <c r="Z60" s="2503"/>
      <c r="AA60" s="2503"/>
      <c r="AB60" s="2503"/>
      <c r="AC60" s="2503"/>
      <c r="AD60" s="2503"/>
      <c r="AE60" s="2503"/>
      <c r="AF60" s="2503"/>
      <c r="AG60" s="2503"/>
      <c r="AH60" s="2503"/>
      <c r="AI60" s="2503"/>
      <c r="AJ60" s="2503"/>
      <c r="AK60" s="2503"/>
      <c r="AL60" s="2503"/>
      <c r="AM60" s="2503"/>
      <c r="AS60" s="1074">
        <v>29</v>
      </c>
    </row>
    <row r="61" spans="1:45" ht="42" customHeight="1">
      <c r="O61" s="474"/>
      <c r="T61" s="2503"/>
      <c r="U61" s="2503"/>
      <c r="V61" s="2503"/>
      <c r="W61" s="2503"/>
      <c r="X61" s="2503"/>
      <c r="Y61" s="2503"/>
      <c r="Z61" s="2503"/>
      <c r="AA61" s="2503"/>
      <c r="AB61" s="2503"/>
      <c r="AC61" s="2503"/>
      <c r="AD61" s="2503"/>
      <c r="AE61" s="2503"/>
      <c r="AF61" s="2503"/>
      <c r="AG61" s="2503"/>
      <c r="AH61" s="2503"/>
      <c r="AI61" s="2503"/>
      <c r="AJ61" s="2503"/>
      <c r="AK61" s="2503"/>
      <c r="AL61" s="2503"/>
      <c r="AM61" s="2503"/>
      <c r="AS61" s="1074">
        <v>40</v>
      </c>
    </row>
    <row r="62" spans="1:45" ht="14.65" customHeight="1">
      <c r="O62" s="474"/>
      <c r="AS62" s="1074">
        <v>14</v>
      </c>
    </row>
    <row r="63" spans="1:45" ht="21" customHeight="1">
      <c r="O63" s="474"/>
      <c r="S63" s="1172"/>
      <c r="T63" s="2410"/>
      <c r="U63" s="2503"/>
      <c r="V63" s="2503"/>
      <c r="W63" s="2503"/>
      <c r="X63" s="2503"/>
      <c r="Y63" s="2503"/>
      <c r="Z63" s="2503"/>
      <c r="AA63" s="2503"/>
      <c r="AB63" s="2503"/>
      <c r="AC63" s="2503"/>
      <c r="AD63" s="2503"/>
      <c r="AE63" s="2503"/>
      <c r="AF63" s="2503"/>
      <c r="AG63" s="2503"/>
      <c r="AH63" s="2503"/>
      <c r="AI63" s="2503"/>
      <c r="AJ63" s="2503"/>
      <c r="AK63" s="2503"/>
      <c r="AL63" s="2503"/>
      <c r="AM63" s="2503"/>
      <c r="AS63" s="1074">
        <v>20</v>
      </c>
    </row>
    <row r="64" spans="1:45" ht="29.25" customHeight="1">
      <c r="O64" s="474"/>
      <c r="T64" s="2503"/>
      <c r="U64" s="2503"/>
      <c r="V64" s="2503"/>
      <c r="W64" s="2503"/>
      <c r="X64" s="2503"/>
      <c r="Y64" s="2503"/>
      <c r="Z64" s="2503"/>
      <c r="AA64" s="2503"/>
      <c r="AB64" s="2503"/>
      <c r="AC64" s="2503"/>
      <c r="AD64" s="2503"/>
      <c r="AE64" s="2503"/>
      <c r="AF64" s="2503"/>
      <c r="AG64" s="2503"/>
      <c r="AH64" s="2503"/>
      <c r="AI64" s="2503"/>
      <c r="AJ64" s="2503"/>
      <c r="AK64" s="2503"/>
      <c r="AL64" s="2503"/>
      <c r="AM64" s="2503"/>
      <c r="AS64" s="1074">
        <v>28</v>
      </c>
    </row>
    <row r="65" spans="1:45" ht="35.65" customHeight="1">
      <c r="T65" s="2503"/>
      <c r="U65" s="2503"/>
      <c r="V65" s="2503"/>
      <c r="W65" s="2503"/>
      <c r="X65" s="2503"/>
      <c r="Y65" s="2503"/>
      <c r="Z65" s="2503"/>
      <c r="AA65" s="2503"/>
      <c r="AB65" s="2503"/>
      <c r="AC65" s="2503"/>
      <c r="AD65" s="2503"/>
      <c r="AE65" s="2503"/>
      <c r="AF65" s="2503"/>
      <c r="AG65" s="2503"/>
      <c r="AH65" s="2503"/>
      <c r="AI65" s="2503"/>
      <c r="AJ65" s="2503"/>
      <c r="AK65" s="2503"/>
      <c r="AL65" s="2503"/>
      <c r="AM65" s="2503"/>
      <c r="AS65" s="1074">
        <v>34</v>
      </c>
    </row>
    <row r="66" spans="1:45" ht="22.5" hidden="1" customHeight="1">
      <c r="A66" s="1079" t="s">
        <v>81</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8">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8">
        <v>10</v>
      </c>
      <c r="AO66" s="448">
        <v>10</v>
      </c>
      <c r="AP66" s="448">
        <v>10</v>
      </c>
      <c r="AQ66" s="448">
        <v>10</v>
      </c>
      <c r="AR66" s="448">
        <v>10</v>
      </c>
      <c r="AS66" s="1074">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244" hidden="1"/>
    <col min="2" max="2" width="11" style="2244" hidden="1" customWidth="1"/>
    <col min="3" max="3" width="10.5703125" style="2244" hidden="1"/>
    <col min="4" max="4" width="11.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2" style="2244" hidden="1" customWidth="1"/>
    <col min="10" max="10" width="9.85546875" style="2244" hidden="1" customWidth="1"/>
    <col min="11" max="11" width="11.42578125" style="2244" hidden="1" customWidth="1"/>
    <col min="12" max="12" width="19.140625" style="2270" hidden="1" customWidth="1"/>
    <col min="13" max="14" width="12.28515625" style="2271" hidden="1" customWidth="1"/>
    <col min="15" max="15" width="23.42578125" style="2271" hidden="1" customWidth="1"/>
    <col min="16" max="16" width="3.7109375" style="2272" hidden="1" customWidth="1"/>
    <col min="17" max="18" width="3" style="2273" customWidth="1"/>
    <col min="19" max="19" width="12" style="2274" customWidth="1"/>
    <col min="20" max="20" width="31" style="2238" customWidth="1"/>
    <col min="21" max="21" width="0.140625" style="2238" customWidth="1"/>
    <col min="22" max="22" width="24.7109375" style="2238" hidden="1" customWidth="1"/>
    <col min="23" max="23" width="0.140625" style="2238" hidden="1" customWidth="1"/>
    <col min="24" max="25" width="24.7109375" style="2238" hidden="1" customWidth="1"/>
    <col min="26" max="26" width="11.7109375" style="2238" hidden="1" customWidth="1"/>
    <col min="27" max="27" width="3.7109375" style="2238" hidden="1" customWidth="1"/>
    <col min="28" max="28" width="11.7109375" style="2238" hidden="1" customWidth="1"/>
    <col min="29" max="29" width="8.5703125" style="2238" hidden="1" customWidth="1"/>
    <col min="30" max="30" width="24.7109375" style="2238" customWidth="1"/>
    <col min="31" max="31" width="0.140625" style="2238" customWidth="1"/>
    <col min="32" max="33" width="24" style="2238" customWidth="1"/>
    <col min="34" max="34" width="11" style="2238" customWidth="1"/>
    <col min="35" max="35" width="3.7109375" style="2238" customWidth="1"/>
    <col min="36" max="36" width="11" style="2238" customWidth="1"/>
    <col min="37" max="37" width="8.5703125" style="2238" hidden="1" customWidth="1"/>
    <col min="38" max="38" width="4" style="2238" customWidth="1"/>
    <col min="39" max="39" width="115" style="2238" customWidth="1"/>
    <col min="40" max="44" width="10" style="2245" customWidth="1"/>
    <col min="45" max="45" width="10.5703125" style="2238" hidden="1"/>
  </cols>
  <sheetData>
    <row r="1" spans="1:45" ht="22.5" hidden="1" customHeight="1">
      <c r="Y1" s="264"/>
      <c r="Z1" s="264"/>
      <c r="AG1" s="264"/>
      <c r="AH1" s="264"/>
      <c r="AS1" s="1074" t="s">
        <v>14</v>
      </c>
    </row>
    <row r="2" spans="1:45" ht="21" hidden="1" customHeight="1">
      <c r="A2" s="1282"/>
      <c r="B2" s="1282"/>
      <c r="C2" s="1282"/>
      <c r="D2" s="1282"/>
      <c r="E2" s="2483">
        <v>1</v>
      </c>
      <c r="F2" s="1282"/>
      <c r="G2" s="1282"/>
      <c r="H2" s="1282"/>
      <c r="I2" s="1282"/>
      <c r="J2" s="1282"/>
      <c r="K2" s="1282"/>
      <c r="L2" s="1283"/>
      <c r="M2" s="1284"/>
      <c r="N2" s="1284"/>
      <c r="O2" s="1284"/>
      <c r="P2" s="298"/>
      <c r="Q2" s="297"/>
      <c r="R2" s="292"/>
      <c r="S2" s="1255" t="e">
        <f>INDEX(PT_DIFFERENTIATION_NUM_NTAR,MATCH(A2,PT_DIFFERENTIATION_NTAR_ID,0))</f>
        <v>#N/A</v>
      </c>
      <c r="T2" s="235" t="s">
        <v>123</v>
      </c>
      <c r="U2" s="237"/>
      <c r="V2" s="2469"/>
      <c r="W2" s="2470"/>
      <c r="X2" s="2470"/>
      <c r="Y2" s="2470"/>
      <c r="Z2" s="2470"/>
      <c r="AA2" s="2470"/>
      <c r="AB2" s="2470"/>
      <c r="AC2" s="2471"/>
      <c r="AD2" s="2469" t="e">
        <f>INDEX(PT_DIFFERENTIATION_NTAR,MATCH(A2,PT_DIFFERENTIATION_NTAR_ID,0))</f>
        <v>#N/A</v>
      </c>
      <c r="AE2" s="2470"/>
      <c r="AF2" s="2470"/>
      <c r="AG2" s="2470"/>
      <c r="AH2" s="2470"/>
      <c r="AI2" s="2470"/>
      <c r="AJ2" s="2470"/>
      <c r="AK2" s="2470"/>
      <c r="AL2" s="2471"/>
      <c r="AM2" s="1177" t="s">
        <v>394</v>
      </c>
      <c r="AO2" s="437"/>
      <c r="AP2" s="437" t="str">
        <f t="shared" ref="AP2:AP15" si="0">IF(T2="","",T2)</f>
        <v>Наименование тарифа</v>
      </c>
      <c r="AQ2" s="437"/>
      <c r="AR2" s="437"/>
      <c r="AS2" s="1074">
        <v>0</v>
      </c>
    </row>
    <row r="3" spans="1:45" ht="21" hidden="1" customHeight="1">
      <c r="A3" s="1282"/>
      <c r="B3" s="1282"/>
      <c r="C3" s="1282"/>
      <c r="D3" s="1282"/>
      <c r="E3" s="2484"/>
      <c r="F3" s="2483">
        <v>1</v>
      </c>
      <c r="G3" s="1282"/>
      <c r="H3" s="1282"/>
      <c r="I3" s="1282"/>
      <c r="J3" s="1282"/>
      <c r="K3" s="1282"/>
      <c r="L3" s="1283"/>
      <c r="M3" s="1284"/>
      <c r="N3" s="1284"/>
      <c r="O3" s="1284"/>
      <c r="P3" s="1251"/>
      <c r="Q3" s="289"/>
      <c r="R3" s="290"/>
      <c r="S3" s="1255" t="e">
        <f>INDEX(PT_DIFFERENTIATION_NUM_TER,MATCH(B3,PT_DIFFERENTIATION_TER_ID,0))</f>
        <v>#N/A</v>
      </c>
      <c r="T3" s="245" t="s">
        <v>395</v>
      </c>
      <c r="U3" s="237"/>
      <c r="V3" s="2469"/>
      <c r="W3" s="2470"/>
      <c r="X3" s="2470"/>
      <c r="Y3" s="2470"/>
      <c r="Z3" s="2470"/>
      <c r="AA3" s="2470"/>
      <c r="AB3" s="2470"/>
      <c r="AC3" s="2471"/>
      <c r="AD3" s="2469" t="e">
        <f>INDEX(PT_DIFFERENTIATION_TER,MATCH(B3,PT_DIFFERENTIATION_TER_ID,0))</f>
        <v>#N/A</v>
      </c>
      <c r="AE3" s="2470"/>
      <c r="AF3" s="2470"/>
      <c r="AG3" s="2470"/>
      <c r="AH3" s="2470"/>
      <c r="AI3" s="2470"/>
      <c r="AJ3" s="2470"/>
      <c r="AK3" s="2470"/>
      <c r="AL3" s="2471"/>
      <c r="AM3" s="1177" t="s">
        <v>396</v>
      </c>
      <c r="AO3" s="437"/>
      <c r="AP3" s="437" t="str">
        <f t="shared" si="0"/>
        <v>Территория действия тарифа</v>
      </c>
      <c r="AQ3" s="437"/>
      <c r="AR3" s="437"/>
      <c r="AS3" s="1074">
        <v>0</v>
      </c>
    </row>
    <row r="4" spans="1:45" ht="23.25" hidden="1" customHeight="1">
      <c r="A4" s="1282"/>
      <c r="B4" s="1282"/>
      <c r="C4" s="1282"/>
      <c r="D4" s="1282"/>
      <c r="E4" s="2484"/>
      <c r="F4" s="2484"/>
      <c r="G4" s="2483">
        <v>1</v>
      </c>
      <c r="H4" s="1282"/>
      <c r="I4" s="1282"/>
      <c r="J4" s="1282"/>
      <c r="K4" s="1282"/>
      <c r="L4" s="1283"/>
      <c r="M4" s="1284"/>
      <c r="N4" s="1284"/>
      <c r="O4" s="1284"/>
      <c r="P4" s="291"/>
      <c r="Q4" s="289"/>
      <c r="R4" s="290"/>
      <c r="S4" s="1255" t="e">
        <f>INDEX(PT_DIFFERENTIATION_NUM_CS,MATCH(C4,PT_DIFFERENTIATION_CS_ID,0))</f>
        <v>#N/A</v>
      </c>
      <c r="T4" s="246" t="s">
        <v>397</v>
      </c>
      <c r="U4" s="237"/>
      <c r="V4" s="2469"/>
      <c r="W4" s="2470"/>
      <c r="X4" s="2470"/>
      <c r="Y4" s="2470"/>
      <c r="Z4" s="2470"/>
      <c r="AA4" s="2470"/>
      <c r="AB4" s="2470"/>
      <c r="AC4" s="2471"/>
      <c r="AD4" s="2469" t="e">
        <f>INDEX(PT_DIFFERENTIATION_CS,MATCH(C4,PT_DIFFERENTIATION_CS_ID,0))</f>
        <v>#N/A</v>
      </c>
      <c r="AE4" s="2470"/>
      <c r="AF4" s="2470"/>
      <c r="AG4" s="2470"/>
      <c r="AH4" s="2470"/>
      <c r="AI4" s="2470"/>
      <c r="AJ4" s="2470"/>
      <c r="AK4" s="2470"/>
      <c r="AL4" s="2471"/>
      <c r="AM4" s="1177" t="s">
        <v>398</v>
      </c>
      <c r="AO4" s="437"/>
      <c r="AP4" s="437" t="str">
        <f t="shared" si="0"/>
        <v xml:space="preserve">Наименование системы теплоснабжения </v>
      </c>
      <c r="AQ4" s="437"/>
      <c r="AR4" s="437"/>
      <c r="AS4" s="1074">
        <v>0</v>
      </c>
    </row>
    <row r="5" spans="1:45" ht="21" hidden="1" customHeight="1">
      <c r="A5" s="1282"/>
      <c r="B5" s="1282"/>
      <c r="C5" s="1282"/>
      <c r="D5" s="1282"/>
      <c r="E5" s="2484"/>
      <c r="F5" s="2484"/>
      <c r="G5" s="2484"/>
      <c r="H5" s="2483">
        <v>1</v>
      </c>
      <c r="I5" s="1282"/>
      <c r="J5" s="1282"/>
      <c r="K5" s="1282"/>
      <c r="L5" s="1283"/>
      <c r="M5" s="1284"/>
      <c r="N5" s="1284"/>
      <c r="O5" s="1284"/>
      <c r="P5" s="291"/>
      <c r="Q5" s="289"/>
      <c r="R5" s="290"/>
      <c r="S5" s="1255" t="e">
        <f>INDEX(PT_DIFFERENTIATION_NUM_IST_TE,MATCH(D5,PT_DIFFERENTIATION_IST_TE_ID,0))</f>
        <v>#N/A</v>
      </c>
      <c r="T5" s="247" t="s">
        <v>399</v>
      </c>
      <c r="U5" s="237"/>
      <c r="V5" s="2469"/>
      <c r="W5" s="2470"/>
      <c r="X5" s="2470"/>
      <c r="Y5" s="2470"/>
      <c r="Z5" s="2470"/>
      <c r="AA5" s="2470"/>
      <c r="AB5" s="2470"/>
      <c r="AC5" s="2471"/>
      <c r="AD5" s="2469" t="e">
        <f>INDEX(PT_DIFFERENTIATION_IST_TE,MATCH(D5,PT_DIFFERENTIATION_IST_TE_ID,0))</f>
        <v>#N/A</v>
      </c>
      <c r="AE5" s="2470"/>
      <c r="AF5" s="2470"/>
      <c r="AG5" s="2470"/>
      <c r="AH5" s="2470"/>
      <c r="AI5" s="2470"/>
      <c r="AJ5" s="2470"/>
      <c r="AK5" s="2470"/>
      <c r="AL5" s="2471"/>
      <c r="AM5" s="1177" t="s">
        <v>400</v>
      </c>
      <c r="AO5" s="437"/>
      <c r="AP5" s="437" t="str">
        <f t="shared" si="0"/>
        <v xml:space="preserve">Источник тепловой энергии  </v>
      </c>
      <c r="AQ5" s="437"/>
      <c r="AR5" s="437"/>
      <c r="AS5" s="1074">
        <v>0</v>
      </c>
    </row>
    <row r="6" spans="1:45" ht="14.25" hidden="1" customHeight="1">
      <c r="A6" s="1282"/>
      <c r="B6" s="1282"/>
      <c r="C6" s="1282"/>
      <c r="D6" s="1282"/>
      <c r="E6" s="2484"/>
      <c r="F6" s="2484"/>
      <c r="G6" s="2484"/>
      <c r="H6" s="2484"/>
      <c r="I6" s="2481" t="e">
        <f>S5&amp;".1"</f>
        <v>#N/A</v>
      </c>
      <c r="J6" s="1282"/>
      <c r="K6" s="1282"/>
      <c r="L6" s="1283" t="s">
        <v>401</v>
      </c>
      <c r="M6" s="474"/>
      <c r="P6" s="2482">
        <v>1</v>
      </c>
      <c r="Q6" s="1250"/>
      <c r="R6" s="293"/>
      <c r="S6" s="966"/>
      <c r="T6" s="1302"/>
      <c r="U6" s="1303"/>
      <c r="V6" s="2512"/>
      <c r="W6" s="2513"/>
      <c r="X6" s="2513"/>
      <c r="Y6" s="2513"/>
      <c r="Z6" s="2513"/>
      <c r="AA6" s="2513"/>
      <c r="AB6" s="2513"/>
      <c r="AC6" s="2514"/>
      <c r="AD6" s="2512"/>
      <c r="AE6" s="2513"/>
      <c r="AF6" s="2513"/>
      <c r="AG6" s="2513"/>
      <c r="AH6" s="2513"/>
      <c r="AI6" s="2513"/>
      <c r="AJ6" s="2513"/>
      <c r="AK6" s="2513"/>
      <c r="AL6" s="2514"/>
      <c r="AM6" s="1304"/>
      <c r="AO6" s="437"/>
      <c r="AP6" s="437" t="str">
        <f t="shared" si="0"/>
        <v/>
      </c>
      <c r="AQ6" s="437"/>
      <c r="AR6" s="437"/>
      <c r="AS6" s="1074">
        <v>0</v>
      </c>
    </row>
    <row r="7" spans="1:45" ht="21" hidden="1" customHeight="1">
      <c r="A7" s="1282"/>
      <c r="B7" s="1282"/>
      <c r="C7" s="1282"/>
      <c r="D7" s="1282"/>
      <c r="E7" s="2484"/>
      <c r="F7" s="2484"/>
      <c r="G7" s="2484"/>
      <c r="H7" s="2484"/>
      <c r="I7" s="2504"/>
      <c r="J7" s="2481" t="e">
        <f>I6&amp;".1"</f>
        <v>#N/A</v>
      </c>
      <c r="K7" s="1282"/>
      <c r="L7" s="1283" t="s">
        <v>404</v>
      </c>
      <c r="M7" s="474"/>
      <c r="N7" s="1285"/>
      <c r="P7" s="2482"/>
      <c r="Q7" s="2482">
        <v>1</v>
      </c>
      <c r="R7" s="294"/>
      <c r="S7" s="1255" t="e">
        <f>$J7</f>
        <v>#N/A</v>
      </c>
      <c r="T7" s="223" t="s">
        <v>405</v>
      </c>
      <c r="U7" s="237"/>
      <c r="V7" s="2472"/>
      <c r="W7" s="2473"/>
      <c r="X7" s="2473"/>
      <c r="Y7" s="2473"/>
      <c r="Z7" s="2473"/>
      <c r="AA7" s="2473"/>
      <c r="AB7" s="2473"/>
      <c r="AC7" s="2474"/>
      <c r="AD7" s="2472"/>
      <c r="AE7" s="2473"/>
      <c r="AF7" s="2473"/>
      <c r="AG7" s="2473"/>
      <c r="AH7" s="2473"/>
      <c r="AI7" s="2473"/>
      <c r="AJ7" s="2473"/>
      <c r="AK7" s="2473"/>
      <c r="AL7" s="2474"/>
      <c r="AM7" s="1177" t="s">
        <v>406</v>
      </c>
      <c r="AO7" s="437"/>
      <c r="AP7" s="437" t="str">
        <f t="shared" si="0"/>
        <v>Группа потребителей</v>
      </c>
      <c r="AQ7" s="437"/>
      <c r="AR7" s="437"/>
      <c r="AS7" s="1074">
        <v>0</v>
      </c>
    </row>
    <row r="8" spans="1:45" ht="21" hidden="1" customHeight="1">
      <c r="A8" s="1282"/>
      <c r="B8" s="1282"/>
      <c r="C8" s="1282"/>
      <c r="D8" s="1282"/>
      <c r="E8" s="2484"/>
      <c r="F8" s="2484"/>
      <c r="G8" s="2484"/>
      <c r="H8" s="2484"/>
      <c r="I8" s="2504"/>
      <c r="J8" s="2504"/>
      <c r="K8" s="2481" t="e">
        <f>J7&amp;".1"</f>
        <v>#N/A</v>
      </c>
      <c r="L8" s="1283" t="s">
        <v>407</v>
      </c>
      <c r="M8" s="474"/>
      <c r="N8" s="1285"/>
      <c r="O8" s="1285"/>
      <c r="P8" s="2482"/>
      <c r="Q8" s="2482"/>
      <c r="R8" s="294">
        <v>1</v>
      </c>
      <c r="S8" s="1255" t="e">
        <f>$K8</f>
        <v>#N/A</v>
      </c>
      <c r="T8" s="1266"/>
      <c r="U8" s="237"/>
      <c r="V8" s="688"/>
      <c r="W8" s="262"/>
      <c r="X8" s="688"/>
      <c r="Y8" s="1176"/>
      <c r="Z8" s="2486"/>
      <c r="AA8" s="2344" t="s">
        <v>64</v>
      </c>
      <c r="AB8" s="2486"/>
      <c r="AC8" s="2344" t="s">
        <v>64</v>
      </c>
      <c r="AD8" s="688"/>
      <c r="AE8" s="262"/>
      <c r="AF8" s="688"/>
      <c r="AG8" s="1176"/>
      <c r="AH8" s="2486"/>
      <c r="AI8" s="2344" t="s">
        <v>64</v>
      </c>
      <c r="AJ8" s="2486"/>
      <c r="AK8" s="2344" t="s">
        <v>64</v>
      </c>
      <c r="AL8" s="262"/>
      <c r="AM8" s="2478" t="s">
        <v>408</v>
      </c>
      <c r="AN8" s="448" t="e">
        <f ca="1">STRCHECKDATE(V9:AL9)</f>
        <v>#NAME?</v>
      </c>
      <c r="AO8" s="437"/>
      <c r="AP8" s="437" t="str">
        <f t="shared" si="0"/>
        <v/>
      </c>
      <c r="AQ8" s="437"/>
      <c r="AR8" s="437"/>
      <c r="AS8" s="1074">
        <v>0</v>
      </c>
    </row>
    <row r="9" spans="1:45" ht="14.25" hidden="1" customHeight="1">
      <c r="A9" s="1282"/>
      <c r="B9" s="1282"/>
      <c r="C9" s="1282"/>
      <c r="D9" s="1282"/>
      <c r="E9" s="2484"/>
      <c r="F9" s="2484"/>
      <c r="G9" s="2484"/>
      <c r="H9" s="2484"/>
      <c r="I9" s="2504"/>
      <c r="J9" s="2504"/>
      <c r="K9" s="2481"/>
      <c r="L9" s="1283"/>
      <c r="M9" s="474"/>
      <c r="N9" s="1285"/>
      <c r="O9" s="1285"/>
      <c r="P9" s="2482"/>
      <c r="Q9" s="2482"/>
      <c r="R9" s="294"/>
      <c r="S9" s="1261"/>
      <c r="T9" s="237"/>
      <c r="U9" s="237"/>
      <c r="V9" s="262"/>
      <c r="W9" s="262"/>
      <c r="X9" s="262"/>
      <c r="Y9" s="265" t="str">
        <f>Z8&amp;"-"&amp;AB8</f>
        <v>-</v>
      </c>
      <c r="Z9" s="2487"/>
      <c r="AA9" s="2344"/>
      <c r="AB9" s="2487"/>
      <c r="AC9" s="2344"/>
      <c r="AD9" s="262"/>
      <c r="AE9" s="262"/>
      <c r="AF9" s="262"/>
      <c r="AG9" s="265" t="str">
        <f>AH8&amp;"-"&amp;AJ8</f>
        <v>-</v>
      </c>
      <c r="AH9" s="2487"/>
      <c r="AI9" s="2344"/>
      <c r="AJ9" s="2487"/>
      <c r="AK9" s="2344"/>
      <c r="AL9" s="262"/>
      <c r="AM9" s="2479"/>
      <c r="AO9" s="437"/>
      <c r="AP9" s="437" t="str">
        <f t="shared" si="0"/>
        <v/>
      </c>
      <c r="AQ9" s="437"/>
      <c r="AR9" s="437"/>
      <c r="AS9" s="1074">
        <v>0</v>
      </c>
    </row>
    <row r="10" spans="1:45" ht="15" hidden="1" customHeight="1">
      <c r="A10" s="1282"/>
      <c r="B10" s="1282"/>
      <c r="C10" s="1282"/>
      <c r="D10" s="1282"/>
      <c r="E10" s="2484"/>
      <c r="F10" s="2484"/>
      <c r="G10" s="2484"/>
      <c r="H10" s="2484"/>
      <c r="I10" s="2504"/>
      <c r="J10" s="2481"/>
      <c r="K10" s="1282"/>
      <c r="L10" s="1283"/>
      <c r="M10" s="474"/>
      <c r="N10" s="1285"/>
      <c r="P10" s="2482"/>
      <c r="Q10" s="2482"/>
      <c r="R10" s="293"/>
      <c r="S10" s="1197"/>
      <c r="T10" s="224" t="s">
        <v>409</v>
      </c>
      <c r="U10" s="304"/>
      <c r="V10" s="304"/>
      <c r="W10" s="304"/>
      <c r="X10" s="304"/>
      <c r="Y10" s="304"/>
      <c r="Z10" s="304"/>
      <c r="AA10" s="304"/>
      <c r="AB10" s="304"/>
      <c r="AC10" s="304"/>
      <c r="AD10" s="304"/>
      <c r="AE10" s="304"/>
      <c r="AF10" s="304"/>
      <c r="AG10" s="304"/>
      <c r="AH10" s="304"/>
      <c r="AI10" s="304"/>
      <c r="AJ10" s="304"/>
      <c r="AK10" s="304"/>
      <c r="AL10" s="261"/>
      <c r="AM10" s="2480"/>
      <c r="AO10" s="437"/>
      <c r="AP10" s="437" t="str">
        <f t="shared" si="0"/>
        <v>Добавить вид теплоносителя (параметры теплоносителя)</v>
      </c>
      <c r="AQ10" s="437"/>
      <c r="AR10" s="437"/>
      <c r="AS10" s="1074">
        <v>0</v>
      </c>
    </row>
    <row r="11" spans="1:45" ht="11.25" hidden="1" customHeight="1">
      <c r="A11" s="1282"/>
      <c r="B11" s="1282"/>
      <c r="C11" s="1282"/>
      <c r="D11" s="1282"/>
      <c r="E11" s="2484"/>
      <c r="F11" s="2484"/>
      <c r="G11" s="2484"/>
      <c r="H11" s="2484"/>
      <c r="I11" s="2481"/>
      <c r="J11" s="1282"/>
      <c r="K11" s="1282"/>
      <c r="L11" s="1283"/>
      <c r="M11" s="474"/>
      <c r="P11" s="2482"/>
      <c r="Q11" s="1250"/>
      <c r="R11" s="293"/>
      <c r="S11" s="1197"/>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4">
        <v>0</v>
      </c>
    </row>
    <row r="12" spans="1:45" ht="14.25" hidden="1" customHeight="1">
      <c r="A12" s="1282"/>
      <c r="B12" s="1282"/>
      <c r="C12" s="1282"/>
      <c r="D12" s="1282"/>
      <c r="E12" s="2484"/>
      <c r="F12" s="2484"/>
      <c r="G12" s="2484"/>
      <c r="H12" s="2483"/>
      <c r="I12" s="1282"/>
      <c r="J12" s="1282"/>
      <c r="K12" s="1282"/>
      <c r="L12" s="1283"/>
      <c r="M12" s="1284"/>
      <c r="N12" s="1284"/>
      <c r="O12" s="474"/>
      <c r="P12" s="297"/>
      <c r="Q12" s="312"/>
      <c r="R12" s="292"/>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7"/>
      <c r="AP12" s="437" t="str">
        <f t="shared" si="0"/>
        <v/>
      </c>
      <c r="AQ12" s="437"/>
      <c r="AR12" s="437"/>
      <c r="AS12" s="1074">
        <v>0</v>
      </c>
    </row>
    <row r="13" spans="1:45" s="2245" customFormat="1" ht="14.25" hidden="1" customHeight="1">
      <c r="A13" s="1233"/>
      <c r="B13" s="1233"/>
      <c r="C13" s="1233"/>
      <c r="D13" s="1233"/>
      <c r="E13" s="2484"/>
      <c r="F13" s="2484"/>
      <c r="G13" s="2483"/>
      <c r="H13" s="1233"/>
      <c r="I13" s="1233"/>
      <c r="J13" s="1233"/>
      <c r="K13" s="1233"/>
      <c r="L13" s="1258"/>
      <c r="M13" s="1234"/>
      <c r="N13" s="1234"/>
      <c r="P13" s="1235"/>
      <c r="Q13" s="1236"/>
      <c r="R13" s="1235"/>
      <c r="S13" s="1237"/>
      <c r="T13" s="1238" t="s">
        <v>412</v>
      </c>
      <c r="U13" s="1239"/>
      <c r="V13" s="1239"/>
      <c r="W13" s="1239"/>
      <c r="X13" s="1239"/>
      <c r="Y13" s="1239"/>
      <c r="Z13" s="1239"/>
      <c r="AA13" s="1239"/>
      <c r="AB13" s="1239"/>
      <c r="AC13" s="1239"/>
      <c r="AD13" s="1239"/>
      <c r="AE13" s="1239"/>
      <c r="AF13" s="1239"/>
      <c r="AG13" s="1239"/>
      <c r="AH13" s="1239"/>
      <c r="AI13" s="1239"/>
      <c r="AJ13" s="1239"/>
      <c r="AK13" s="1239"/>
      <c r="AL13" s="1239"/>
      <c r="AM13" s="1239"/>
      <c r="AO13" s="720"/>
      <c r="AP13" s="720" t="str">
        <f t="shared" si="0"/>
        <v>Добавить источник для дифференциации</v>
      </c>
      <c r="AQ13" s="720"/>
      <c r="AR13" s="720"/>
      <c r="AS13" s="455">
        <v>0</v>
      </c>
    </row>
    <row r="14" spans="1:45" s="2245" customFormat="1" ht="14.25" hidden="1" customHeight="1">
      <c r="A14" s="1233"/>
      <c r="B14" s="1233"/>
      <c r="C14" s="1233"/>
      <c r="D14" s="1233"/>
      <c r="E14" s="2484"/>
      <c r="F14" s="2483"/>
      <c r="G14" s="1233"/>
      <c r="H14" s="1233"/>
      <c r="I14" s="1233"/>
      <c r="J14" s="1233"/>
      <c r="K14" s="1233"/>
      <c r="L14" s="1258"/>
      <c r="M14" s="1240"/>
      <c r="N14" s="1240"/>
      <c r="P14" s="1235"/>
      <c r="Q14" s="1236"/>
      <c r="R14" s="1235"/>
      <c r="S14" s="1241"/>
      <c r="T14" s="1242" t="s">
        <v>413</v>
      </c>
      <c r="U14" s="1243"/>
      <c r="V14" s="1243"/>
      <c r="W14" s="1243"/>
      <c r="X14" s="1243"/>
      <c r="Y14" s="1243"/>
      <c r="Z14" s="1243"/>
      <c r="AA14" s="1243"/>
      <c r="AB14" s="1243"/>
      <c r="AC14" s="1243"/>
      <c r="AD14" s="1243"/>
      <c r="AE14" s="1243"/>
      <c r="AF14" s="1243"/>
      <c r="AG14" s="1243"/>
      <c r="AH14" s="1243"/>
      <c r="AI14" s="1243"/>
      <c r="AJ14" s="1243"/>
      <c r="AK14" s="1243"/>
      <c r="AL14" s="1243"/>
      <c r="AM14" s="1243"/>
      <c r="AO14" s="720"/>
      <c r="AP14" s="720" t="str">
        <f t="shared" si="0"/>
        <v>Добавить централизованную систему для дифференциации</v>
      </c>
      <c r="AQ14" s="720"/>
      <c r="AR14" s="720"/>
      <c r="AS14" s="455">
        <v>0</v>
      </c>
    </row>
    <row r="15" spans="1:45" s="2245" customFormat="1" ht="14.25" hidden="1" customHeight="1">
      <c r="A15" s="1233"/>
      <c r="B15" s="1233"/>
      <c r="C15" s="1233"/>
      <c r="D15" s="1233"/>
      <c r="E15" s="2483"/>
      <c r="F15" s="1233"/>
      <c r="G15" s="1233"/>
      <c r="H15" s="1233"/>
      <c r="I15" s="1233"/>
      <c r="J15" s="1233"/>
      <c r="K15" s="1233"/>
      <c r="L15" s="1258"/>
      <c r="M15" s="1240"/>
      <c r="N15" s="1240"/>
      <c r="P15" s="1235"/>
      <c r="Q15" s="1236"/>
      <c r="R15" s="1235"/>
      <c r="S15" s="1241"/>
      <c r="T15" s="1244" t="s">
        <v>414</v>
      </c>
      <c r="U15" s="1243"/>
      <c r="V15" s="1243"/>
      <c r="W15" s="1243"/>
      <c r="X15" s="1243"/>
      <c r="Y15" s="1243"/>
      <c r="Z15" s="1243"/>
      <c r="AA15" s="1243"/>
      <c r="AB15" s="1243"/>
      <c r="AC15" s="1243"/>
      <c r="AD15" s="1243"/>
      <c r="AE15" s="1243"/>
      <c r="AF15" s="1243"/>
      <c r="AG15" s="1243"/>
      <c r="AH15" s="1243"/>
      <c r="AI15" s="1243"/>
      <c r="AJ15" s="1243"/>
      <c r="AK15" s="1243"/>
      <c r="AL15" s="1243"/>
      <c r="AM15" s="1243"/>
      <c r="AO15" s="720"/>
      <c r="AP15" s="720" t="str">
        <f t="shared" si="0"/>
        <v>Добавить территорию для дифференциации</v>
      </c>
      <c r="AQ15" s="720"/>
      <c r="AR15" s="720"/>
      <c r="AS15" s="455">
        <v>0</v>
      </c>
    </row>
    <row r="16" spans="1:45" ht="14.25" hidden="1" customHeight="1">
      <c r="AC16" s="264"/>
      <c r="AK16" s="264"/>
      <c r="AS16" s="1074">
        <v>0</v>
      </c>
    </row>
    <row r="17" spans="1:45" ht="14.25" hidden="1" customHeight="1">
      <c r="AD17" s="1279"/>
      <c r="AE17" s="1279"/>
      <c r="AF17" s="1279"/>
      <c r="AG17" s="1280"/>
      <c r="AH17" s="2488"/>
      <c r="AI17" s="2489" t="s">
        <v>64</v>
      </c>
      <c r="AJ17" s="2488"/>
      <c r="AK17" s="2489" t="s">
        <v>64</v>
      </c>
      <c r="AS17" s="1074">
        <v>0</v>
      </c>
    </row>
    <row r="18" spans="1:45" ht="14.25" hidden="1" customHeight="1">
      <c r="AD18" s="1279"/>
      <c r="AE18" s="1279"/>
      <c r="AF18" s="1279"/>
      <c r="AG18" s="265" t="str">
        <f>AH17&amp;"-"&amp;AJ17</f>
        <v>-</v>
      </c>
      <c r="AH18" s="2489"/>
      <c r="AI18" s="2489"/>
      <c r="AJ18" s="2489"/>
      <c r="AK18" s="2489"/>
      <c r="AS18" s="1074">
        <v>0</v>
      </c>
    </row>
    <row r="19" spans="1:45" ht="14.25" hidden="1" customHeight="1">
      <c r="AK19" s="264"/>
      <c r="AS19" s="1074">
        <v>0</v>
      </c>
    </row>
    <row r="20" spans="1:45" s="2244" customFormat="1" ht="22.5" hidden="1" customHeight="1">
      <c r="L20" s="1248"/>
      <c r="M20" s="1281"/>
      <c r="N20" s="1281"/>
      <c r="O20" s="1286" t="s">
        <v>415</v>
      </c>
      <c r="P20" s="1281"/>
      <c r="Q20" s="1290"/>
      <c r="R20" s="1290"/>
      <c r="S20" s="666"/>
      <c r="Z20" s="1286"/>
      <c r="AB20" s="1286"/>
      <c r="AC20" s="1285"/>
      <c r="AH20" s="1286"/>
      <c r="AJ20" s="1286"/>
      <c r="AK20" s="1285"/>
      <c r="AN20" s="448"/>
      <c r="AO20" s="448"/>
      <c r="AP20" s="448"/>
      <c r="AQ20" s="448"/>
      <c r="AR20" s="448"/>
      <c r="AS20" s="1079">
        <v>0</v>
      </c>
    </row>
    <row r="21" spans="1:45" s="2244" customFormat="1" ht="14.25" hidden="1" customHeight="1">
      <c r="L21" s="1248"/>
      <c r="M21" s="1281"/>
      <c r="N21" s="1281"/>
      <c r="O21" s="1281"/>
      <c r="P21" s="1281"/>
      <c r="Q21" s="1290"/>
      <c r="R21" s="1290"/>
      <c r="S21" s="666"/>
      <c r="AC21" s="1285"/>
      <c r="AK21" s="1285"/>
      <c r="AN21" s="448"/>
      <c r="AO21" s="448"/>
      <c r="AP21" s="448"/>
      <c r="AQ21" s="448"/>
      <c r="AR21" s="448"/>
      <c r="AS21" s="1079">
        <v>0</v>
      </c>
    </row>
    <row r="22" spans="1:45" s="2244" customFormat="1" ht="14.25" hidden="1" customHeight="1">
      <c r="L22" s="1248"/>
      <c r="M22" s="1281"/>
      <c r="N22" s="1281"/>
      <c r="O22" s="1283" t="s">
        <v>416</v>
      </c>
      <c r="P22" s="1281"/>
      <c r="Q22" s="1290"/>
      <c r="R22" s="1290"/>
      <c r="S22" s="666"/>
      <c r="T22" s="1079" t="s">
        <v>417</v>
      </c>
      <c r="AA22" s="123" t="s">
        <v>418</v>
      </c>
      <c r="AC22" s="123" t="s">
        <v>419</v>
      </c>
      <c r="AD22" s="1079" t="s">
        <v>417</v>
      </c>
      <c r="AI22" s="123" t="s">
        <v>420</v>
      </c>
      <c r="AK22" s="123" t="s">
        <v>419</v>
      </c>
      <c r="AN22" s="448"/>
      <c r="AO22" s="448"/>
      <c r="AP22" s="448"/>
      <c r="AQ22" s="448"/>
      <c r="AR22" s="448"/>
      <c r="AS22" s="1079">
        <v>0</v>
      </c>
    </row>
    <row r="23" spans="1:45" ht="14.25" hidden="1" customHeight="1">
      <c r="O23" s="1283"/>
      <c r="AS23" s="1074">
        <v>0</v>
      </c>
    </row>
    <row r="24" spans="1:45" ht="14.25" hidden="1" customHeight="1">
      <c r="O24" s="1283"/>
      <c r="AS24" s="1074">
        <v>0</v>
      </c>
    </row>
    <row r="25" spans="1:45" ht="14.65" customHeight="1">
      <c r="Q25" s="313"/>
      <c r="R25" s="313"/>
      <c r="S25" s="1194"/>
      <c r="T25" s="300"/>
      <c r="U25" s="300"/>
      <c r="V25" s="446"/>
      <c r="W25" s="446"/>
      <c r="X25" s="446"/>
      <c r="Y25" s="446"/>
      <c r="Z25" s="446"/>
      <c r="AA25" s="446"/>
      <c r="AB25" s="446"/>
      <c r="AC25" s="446"/>
      <c r="AD25" s="446"/>
      <c r="AE25" s="446"/>
      <c r="AF25" s="446"/>
      <c r="AG25" s="446"/>
      <c r="AH25" s="446"/>
      <c r="AI25" s="446"/>
      <c r="AJ25" s="446"/>
      <c r="AK25" s="446"/>
      <c r="AS25" s="1074">
        <v>14</v>
      </c>
    </row>
    <row r="26" spans="1:45" ht="53.45" customHeight="1">
      <c r="Q26" s="313"/>
      <c r="R26" s="313"/>
      <c r="S26" s="246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67"/>
      <c r="U26" s="2467"/>
      <c r="V26" s="2467"/>
      <c r="W26" s="2467"/>
      <c r="X26" s="2467"/>
      <c r="Y26" s="2467"/>
      <c r="Z26" s="2467"/>
      <c r="AA26" s="2467"/>
      <c r="AB26" s="2467"/>
      <c r="AC26" s="2467"/>
      <c r="AD26" s="2467"/>
      <c r="AE26" s="2467"/>
      <c r="AF26" s="2467"/>
      <c r="AG26" s="2467"/>
      <c r="AH26" s="2467"/>
      <c r="AI26" s="2467"/>
      <c r="AJ26" s="2467"/>
      <c r="AK26" s="1162"/>
      <c r="AS26" s="1074">
        <v>51</v>
      </c>
    </row>
    <row r="27" spans="1:45" ht="14.65" customHeight="1">
      <c r="Q27" s="313"/>
      <c r="R27" s="313"/>
      <c r="S27" s="2412" t="str">
        <f>IF(org=0,"Не определено",org)</f>
        <v>МУП "Водоканал"</v>
      </c>
      <c r="T27" s="2412"/>
      <c r="U27" s="2412"/>
      <c r="V27" s="2412"/>
      <c r="W27" s="2412"/>
      <c r="X27" s="2412"/>
      <c r="Y27" s="2412"/>
      <c r="Z27" s="2412"/>
      <c r="AA27" s="2412"/>
      <c r="AB27" s="2412"/>
      <c r="AC27" s="2412"/>
      <c r="AD27" s="2412"/>
      <c r="AE27" s="2412"/>
      <c r="AF27" s="2412"/>
      <c r="AG27" s="2412"/>
      <c r="AH27" s="2412"/>
      <c r="AI27" s="2412"/>
      <c r="AJ27" s="2412"/>
      <c r="AK27" s="1162"/>
      <c r="AS27" s="1074">
        <v>14</v>
      </c>
    </row>
    <row r="28" spans="1:45" ht="14.25" hidden="1" customHeight="1">
      <c r="Q28" s="313"/>
      <c r="R28" s="313"/>
      <c r="S28" s="1194"/>
      <c r="T28" s="300"/>
      <c r="U28" s="300"/>
      <c r="V28" s="259"/>
      <c r="W28" s="259"/>
      <c r="X28" s="259"/>
      <c r="Y28" s="259"/>
      <c r="Z28" s="259"/>
      <c r="AA28" s="259"/>
      <c r="AB28" s="259"/>
      <c r="AC28" s="259"/>
      <c r="AD28" s="259"/>
      <c r="AE28" s="259"/>
      <c r="AF28" s="259"/>
      <c r="AG28" s="259"/>
      <c r="AH28" s="259"/>
      <c r="AI28" s="259"/>
      <c r="AJ28" s="259"/>
      <c r="AK28" s="259"/>
      <c r="AL28" s="446"/>
      <c r="AS28" s="1074">
        <v>0</v>
      </c>
    </row>
    <row r="29" spans="1:45" s="2254" customFormat="1" ht="25.5" hidden="1" customHeight="1">
      <c r="A29" s="1287"/>
      <c r="B29" s="1287"/>
      <c r="C29" s="1287"/>
      <c r="D29" s="1287"/>
      <c r="E29" s="1287"/>
      <c r="F29" s="1287"/>
      <c r="G29" s="1287"/>
      <c r="H29" s="1287"/>
      <c r="I29" s="1287"/>
      <c r="J29" s="1287"/>
      <c r="K29" s="1287"/>
      <c r="L29" s="1288"/>
      <c r="M29" s="1287"/>
      <c r="N29" s="1287"/>
      <c r="O29" s="1287"/>
      <c r="S29" s="2475" t="s">
        <v>41</v>
      </c>
      <c r="T29" s="2475"/>
      <c r="U29" s="1291"/>
      <c r="V29" s="2476" t="str">
        <f>IF(TITLE_NAME_OR_PR_CHANGE="",IF(TITLE_NAME_OR_PR="","",TITLE_NAME_OR_PR),TITLE_NAME_OR_PR_CHANGE)</f>
        <v/>
      </c>
      <c r="W29" s="2476"/>
      <c r="X29" s="2476"/>
      <c r="Y29" s="2476"/>
      <c r="Z29" s="2476"/>
      <c r="AA29" s="2476"/>
      <c r="AB29" s="2476"/>
      <c r="AC29" s="263"/>
      <c r="AD29" s="2476" t="str">
        <f>IF(TITLE_NAME_OR_PR_CHANGE="",IF(TITLE_NAME_OR_PR="","",TITLE_NAME_OR_PR),TITLE_NAME_OR_PR_CHANGE)</f>
        <v/>
      </c>
      <c r="AE29" s="2476"/>
      <c r="AF29" s="2476"/>
      <c r="AG29" s="2476"/>
      <c r="AH29" s="2476"/>
      <c r="AI29" s="2476"/>
      <c r="AJ29" s="2476"/>
      <c r="AK29" s="263"/>
      <c r="AL29" s="263"/>
      <c r="AM29" s="217"/>
      <c r="AN29" s="305"/>
      <c r="AO29" s="305"/>
      <c r="AP29" s="305"/>
      <c r="AQ29" s="305"/>
      <c r="AR29" s="305"/>
      <c r="AS29" s="355">
        <v>0</v>
      </c>
    </row>
    <row r="30" spans="1:45" s="2254" customFormat="1" ht="18.75" hidden="1" customHeight="1">
      <c r="A30" s="1287"/>
      <c r="B30" s="1287"/>
      <c r="C30" s="1287"/>
      <c r="D30" s="1287"/>
      <c r="E30" s="1287"/>
      <c r="F30" s="1287"/>
      <c r="G30" s="1287"/>
      <c r="H30" s="1287"/>
      <c r="I30" s="1287"/>
      <c r="J30" s="1287"/>
      <c r="K30" s="1287"/>
      <c r="L30" s="1288"/>
      <c r="M30" s="1287"/>
      <c r="N30" s="1287"/>
      <c r="O30" s="1287"/>
      <c r="S30" s="2475" t="s">
        <v>421</v>
      </c>
      <c r="T30" s="2475"/>
      <c r="U30" s="1291"/>
      <c r="V30" s="2485" t="str">
        <f>IF(TITLE_DATE_PR_CHANGE="",IF(TITLE_DATE_PR="","",TITLE_DATE_PR),TITLE_DATE_PR_CHANGE)</f>
        <v/>
      </c>
      <c r="W30" s="2485"/>
      <c r="X30" s="2485"/>
      <c r="Y30" s="2485"/>
      <c r="Z30" s="2485"/>
      <c r="AA30" s="2485"/>
      <c r="AB30" s="2485"/>
      <c r="AC30" s="263"/>
      <c r="AD30" s="2485" t="str">
        <f>IF(TITLE_DATE_PR_CHANGE="",IF(TITLE_DATE_PR="","",TITLE_DATE_PR),TITLE_DATE_PR_CHANGE)</f>
        <v/>
      </c>
      <c r="AE30" s="2485"/>
      <c r="AF30" s="2485"/>
      <c r="AG30" s="2485"/>
      <c r="AH30" s="2485"/>
      <c r="AI30" s="2485"/>
      <c r="AJ30" s="2485"/>
      <c r="AK30" s="263"/>
      <c r="AL30" s="263"/>
      <c r="AM30" s="217"/>
      <c r="AN30" s="305"/>
      <c r="AO30" s="305"/>
      <c r="AP30" s="305"/>
      <c r="AQ30" s="305"/>
      <c r="AR30" s="305"/>
      <c r="AS30" s="355">
        <v>0</v>
      </c>
    </row>
    <row r="31" spans="1:45" s="2254" customFormat="1" ht="18.75" hidden="1" customHeight="1">
      <c r="A31" s="1287"/>
      <c r="B31" s="1287"/>
      <c r="C31" s="1287"/>
      <c r="D31" s="1287"/>
      <c r="E31" s="1287"/>
      <c r="F31" s="1287"/>
      <c r="G31" s="1287"/>
      <c r="H31" s="1287"/>
      <c r="I31" s="1287"/>
      <c r="J31" s="1287"/>
      <c r="K31" s="1287"/>
      <c r="L31" s="1288"/>
      <c r="M31" s="1287"/>
      <c r="N31" s="1287"/>
      <c r="O31" s="1287"/>
      <c r="S31" s="2475" t="s">
        <v>422</v>
      </c>
      <c r="T31" s="2475"/>
      <c r="U31" s="1291"/>
      <c r="V31" s="2476" t="str">
        <f>IF(TITLE_NUMBER_PR_CHANGE="",IF(TITLE_NUMBER_PR="","",TITLE_NUMBER_PR),TITLE_NUMBER_PR_CHANGE)</f>
        <v/>
      </c>
      <c r="W31" s="2476"/>
      <c r="X31" s="2476"/>
      <c r="Y31" s="2476"/>
      <c r="Z31" s="2476"/>
      <c r="AA31" s="2476"/>
      <c r="AB31" s="2476"/>
      <c r="AC31" s="263"/>
      <c r="AD31" s="2476" t="str">
        <f>IF(TITLE_NUMBER_PR_CHANGE="",IF(TITLE_NUMBER_PR="","",TITLE_NUMBER_PR),TITLE_NUMBER_PR_CHANGE)</f>
        <v/>
      </c>
      <c r="AE31" s="2476"/>
      <c r="AF31" s="2476"/>
      <c r="AG31" s="2476"/>
      <c r="AH31" s="2476"/>
      <c r="AI31" s="2476"/>
      <c r="AJ31" s="2476"/>
      <c r="AK31" s="263"/>
      <c r="AL31" s="263"/>
      <c r="AM31" s="217"/>
      <c r="AN31" s="305"/>
      <c r="AO31" s="305"/>
      <c r="AP31" s="305"/>
      <c r="AQ31" s="305"/>
      <c r="AR31" s="305"/>
      <c r="AS31" s="355">
        <v>0</v>
      </c>
    </row>
    <row r="32" spans="1:45" s="2254" customFormat="1" ht="18.75" hidden="1" customHeight="1">
      <c r="A32" s="1287"/>
      <c r="B32" s="1287"/>
      <c r="C32" s="1287"/>
      <c r="D32" s="1287"/>
      <c r="E32" s="1287"/>
      <c r="F32" s="1287"/>
      <c r="G32" s="1287"/>
      <c r="H32" s="1287"/>
      <c r="I32" s="1287"/>
      <c r="J32" s="1287"/>
      <c r="K32" s="1287"/>
      <c r="L32" s="1288"/>
      <c r="M32" s="1287"/>
      <c r="N32" s="1287"/>
      <c r="O32" s="1287"/>
      <c r="S32" s="2475" t="s">
        <v>42</v>
      </c>
      <c r="T32" s="2475"/>
      <c r="U32" s="1291"/>
      <c r="V32" s="2476" t="str">
        <f>IF(TITLE_IST_PUB_CHANGE="",IF(TITLE_IST_PUB="","",TITLE_IST_PUB),TITLE_IST_PUB_CHANGE)</f>
        <v/>
      </c>
      <c r="W32" s="2476"/>
      <c r="X32" s="2476"/>
      <c r="Y32" s="2476"/>
      <c r="Z32" s="2476"/>
      <c r="AA32" s="2476"/>
      <c r="AB32" s="2476"/>
      <c r="AC32" s="263"/>
      <c r="AD32" s="2476" t="str">
        <f>IF(TITLE_IST_PUB_CHANGE="",IF(TITLE_IST_PUB="","",TITLE_IST_PUB),TITLE_IST_PUB_CHANGE)</f>
        <v/>
      </c>
      <c r="AE32" s="2476"/>
      <c r="AF32" s="2476"/>
      <c r="AG32" s="2476"/>
      <c r="AH32" s="2476"/>
      <c r="AI32" s="2476"/>
      <c r="AJ32" s="2476"/>
      <c r="AK32" s="263"/>
      <c r="AL32" s="263"/>
      <c r="AM32" s="217"/>
      <c r="AN32" s="305"/>
      <c r="AO32" s="305"/>
      <c r="AP32" s="305"/>
      <c r="AQ32" s="305"/>
      <c r="AR32" s="305"/>
      <c r="AS32" s="355">
        <v>0</v>
      </c>
    </row>
    <row r="33" spans="1:45" ht="14.25" hidden="1" customHeight="1">
      <c r="Q33" s="313"/>
      <c r="R33" s="313"/>
      <c r="S33" s="1194"/>
      <c r="T33" s="300"/>
      <c r="U33" s="300"/>
      <c r="V33" s="259"/>
      <c r="W33" s="259"/>
      <c r="X33" s="259"/>
      <c r="Y33" s="259"/>
      <c r="Z33" s="259"/>
      <c r="AA33" s="259"/>
      <c r="AB33" s="259"/>
      <c r="AC33" s="259"/>
      <c r="AD33" s="259"/>
      <c r="AE33" s="259"/>
      <c r="AF33" s="259"/>
      <c r="AG33" s="259"/>
      <c r="AH33" s="259"/>
      <c r="AI33" s="259"/>
      <c r="AJ33" s="259"/>
      <c r="AK33" s="259"/>
      <c r="AL33" s="446"/>
      <c r="AS33" s="1074">
        <v>0</v>
      </c>
    </row>
    <row r="34" spans="1:45" s="2254" customFormat="1" ht="18.75" hidden="1" customHeight="1">
      <c r="A34" s="1287"/>
      <c r="B34" s="1287"/>
      <c r="C34" s="1287"/>
      <c r="D34" s="1287"/>
      <c r="E34" s="1287"/>
      <c r="F34" s="1287"/>
      <c r="G34" s="1287"/>
      <c r="H34" s="1287"/>
      <c r="I34" s="1287"/>
      <c r="J34" s="1287"/>
      <c r="K34" s="1287"/>
      <c r="L34" s="1288"/>
      <c r="M34" s="1287"/>
      <c r="N34" s="1287"/>
      <c r="O34" s="1287"/>
      <c r="S34" s="2475" t="s">
        <v>423</v>
      </c>
      <c r="T34" s="2475"/>
      <c r="U34" s="1291"/>
      <c r="V34" s="2485" t="str">
        <f>IF(TITLE_DATE_PR_CHANGE="",IF(TITLE_DATE_PR="","",TITLE_DATE_PR),TITLE_DATE_PR_CHANGE)</f>
        <v/>
      </c>
      <c r="W34" s="2485"/>
      <c r="X34" s="2485"/>
      <c r="Y34" s="2485"/>
      <c r="Z34" s="2485"/>
      <c r="AA34" s="2485"/>
      <c r="AB34" s="2485"/>
      <c r="AC34" s="263"/>
      <c r="AD34" s="2485" t="str">
        <f>IF(TITLE_DATE_PR_CHANGE="",IF(TITLE_DATE_PR="","",TITLE_DATE_PR),TITLE_DATE_PR_CHANGE)</f>
        <v/>
      </c>
      <c r="AE34" s="2485"/>
      <c r="AF34" s="2485"/>
      <c r="AG34" s="2485"/>
      <c r="AH34" s="2485"/>
      <c r="AI34" s="2485"/>
      <c r="AJ34" s="2485"/>
      <c r="AK34" s="263"/>
      <c r="AL34" s="263"/>
      <c r="AM34" s="217"/>
      <c r="AN34" s="305"/>
      <c r="AO34" s="305"/>
      <c r="AP34" s="305"/>
      <c r="AQ34" s="305"/>
      <c r="AR34" s="305"/>
      <c r="AS34" s="355">
        <v>0</v>
      </c>
    </row>
    <row r="35" spans="1:45" s="2254" customFormat="1" ht="25.5" hidden="1" customHeight="1">
      <c r="A35" s="1287"/>
      <c r="B35" s="1287"/>
      <c r="C35" s="1287"/>
      <c r="D35" s="1287"/>
      <c r="E35" s="1287"/>
      <c r="F35" s="1287"/>
      <c r="G35" s="1287"/>
      <c r="H35" s="1287"/>
      <c r="I35" s="1287"/>
      <c r="J35" s="1287"/>
      <c r="K35" s="1287"/>
      <c r="L35" s="1288"/>
      <c r="M35" s="1287"/>
      <c r="N35" s="1287"/>
      <c r="O35" s="1287"/>
      <c r="S35" s="2475" t="s">
        <v>424</v>
      </c>
      <c r="T35" s="2475"/>
      <c r="U35" s="1291"/>
      <c r="V35" s="2476" t="str">
        <f>IF(TITLE_NUMBER_PR_CHANGE="",IF(TITLE_NUMBER_PR="","",TITLE_NUMBER_PR),TITLE_NUMBER_PR_CHANGE)</f>
        <v/>
      </c>
      <c r="W35" s="2476"/>
      <c r="X35" s="2476"/>
      <c r="Y35" s="2476"/>
      <c r="Z35" s="2476"/>
      <c r="AA35" s="2476"/>
      <c r="AB35" s="2476"/>
      <c r="AC35" s="263"/>
      <c r="AD35" s="2476" t="str">
        <f>IF(TITLE_NUMBER_PR_CHANGE="",IF(TITLE_NUMBER_PR="","",TITLE_NUMBER_PR),TITLE_NUMBER_PR_CHANGE)</f>
        <v/>
      </c>
      <c r="AE35" s="2476"/>
      <c r="AF35" s="2476"/>
      <c r="AG35" s="2476"/>
      <c r="AH35" s="2476"/>
      <c r="AI35" s="2476"/>
      <c r="AJ35" s="2476"/>
      <c r="AK35" s="263"/>
      <c r="AL35" s="263"/>
      <c r="AM35" s="217"/>
      <c r="AN35" s="305"/>
      <c r="AO35" s="305"/>
      <c r="AP35" s="305"/>
      <c r="AQ35" s="305"/>
      <c r="AR35" s="305"/>
      <c r="AS35" s="355">
        <v>0</v>
      </c>
    </row>
    <row r="36" spans="1:45" s="2254"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194"/>
      <c r="T37" s="300"/>
      <c r="U37" s="1163"/>
      <c r="V37" s="2477"/>
      <c r="W37" s="2477"/>
      <c r="X37" s="2477"/>
      <c r="Y37" s="2477"/>
      <c r="Z37" s="2477"/>
      <c r="AA37" s="2477"/>
      <c r="AB37" s="2477"/>
      <c r="AC37" s="2477"/>
      <c r="AD37" s="2477"/>
      <c r="AE37" s="2477"/>
      <c r="AF37" s="2477"/>
      <c r="AG37" s="2477"/>
      <c r="AH37" s="2477"/>
      <c r="AI37" s="2477"/>
      <c r="AJ37" s="2477"/>
      <c r="AK37" s="2477"/>
      <c r="AS37" s="1074">
        <v>14</v>
      </c>
    </row>
    <row r="38" spans="1:45" ht="14.65" customHeight="1">
      <c r="Q38" s="313"/>
      <c r="R38" s="313"/>
      <c r="S38" s="2363" t="s">
        <v>298</v>
      </c>
      <c r="T38" s="2363"/>
      <c r="U38" s="2363"/>
      <c r="V38" s="2363"/>
      <c r="W38" s="2363"/>
      <c r="X38" s="2363"/>
      <c r="Y38" s="2363"/>
      <c r="Z38" s="2363"/>
      <c r="AA38" s="2363"/>
      <c r="AB38" s="2363"/>
      <c r="AC38" s="2363"/>
      <c r="AD38" s="2363"/>
      <c r="AE38" s="2363"/>
      <c r="AF38" s="2363"/>
      <c r="AG38" s="2363"/>
      <c r="AH38" s="2363"/>
      <c r="AI38" s="2363"/>
      <c r="AJ38" s="2363"/>
      <c r="AK38" s="2363"/>
      <c r="AL38" s="2363"/>
      <c r="AM38" s="2363" t="s">
        <v>299</v>
      </c>
      <c r="AS38" s="1074">
        <v>14</v>
      </c>
    </row>
    <row r="39" spans="1:45" ht="14.65" customHeight="1">
      <c r="Q39" s="313"/>
      <c r="R39" s="313"/>
      <c r="S39" s="2491" t="s">
        <v>87</v>
      </c>
      <c r="T39" s="2442" t="s">
        <v>426</v>
      </c>
      <c r="U39" s="238"/>
      <c r="V39" s="2492" t="s">
        <v>427</v>
      </c>
      <c r="W39" s="2493"/>
      <c r="X39" s="2493"/>
      <c r="Y39" s="2493"/>
      <c r="Z39" s="2493"/>
      <c r="AA39" s="2493"/>
      <c r="AB39" s="2494"/>
      <c r="AC39" s="2495" t="s">
        <v>428</v>
      </c>
      <c r="AD39" s="2492" t="s">
        <v>427</v>
      </c>
      <c r="AE39" s="2493"/>
      <c r="AF39" s="2493"/>
      <c r="AG39" s="2493"/>
      <c r="AH39" s="2493"/>
      <c r="AI39" s="2493"/>
      <c r="AJ39" s="2494"/>
      <c r="AK39" s="2495" t="s">
        <v>429</v>
      </c>
      <c r="AL39" s="2498" t="s">
        <v>430</v>
      </c>
      <c r="AM39" s="2363"/>
      <c r="AS39" s="1074">
        <v>14</v>
      </c>
    </row>
    <row r="40" spans="1:45" ht="35.65" customHeight="1">
      <c r="Q40" s="313"/>
      <c r="R40" s="313"/>
      <c r="S40" s="2491"/>
      <c r="T40" s="2442"/>
      <c r="U40" s="955"/>
      <c r="V40" s="2411" t="s">
        <v>431</v>
      </c>
      <c r="W40" s="2501"/>
      <c r="X40" s="2335" t="s">
        <v>433</v>
      </c>
      <c r="Y40" s="2334"/>
      <c r="Z40" s="2335" t="s">
        <v>434</v>
      </c>
      <c r="AA40" s="2340"/>
      <c r="AB40" s="2334"/>
      <c r="AC40" s="2496"/>
      <c r="AD40" s="2411" t="s">
        <v>448</v>
      </c>
      <c r="AE40" s="2501"/>
      <c r="AF40" s="2335" t="s">
        <v>433</v>
      </c>
      <c r="AG40" s="2334"/>
      <c r="AH40" s="2335" t="s">
        <v>434</v>
      </c>
      <c r="AI40" s="2340"/>
      <c r="AJ40" s="2334"/>
      <c r="AK40" s="2496"/>
      <c r="AL40" s="2499"/>
      <c r="AM40" s="2363"/>
      <c r="AS40" s="1074">
        <v>34</v>
      </c>
    </row>
    <row r="41" spans="1:45" ht="35.65" customHeight="1">
      <c r="A41" s="1289"/>
      <c r="B41" s="1289" t="s">
        <v>135</v>
      </c>
      <c r="C41" s="1289" t="s">
        <v>136</v>
      </c>
      <c r="D41" s="1289" t="s">
        <v>137</v>
      </c>
      <c r="E41" s="1283" t="s">
        <v>435</v>
      </c>
      <c r="F41" s="1283" t="s">
        <v>436</v>
      </c>
      <c r="G41" s="1283" t="s">
        <v>437</v>
      </c>
      <c r="H41" s="1283" t="s">
        <v>438</v>
      </c>
      <c r="I41" s="1283" t="s">
        <v>439</v>
      </c>
      <c r="J41" s="1283" t="s">
        <v>440</v>
      </c>
      <c r="K41" s="1283" t="s">
        <v>441</v>
      </c>
      <c r="L41" s="1283" t="s">
        <v>416</v>
      </c>
      <c r="Q41" s="313"/>
      <c r="R41" s="313"/>
      <c r="S41" s="2491"/>
      <c r="T41" s="2442"/>
      <c r="U41" s="239"/>
      <c r="V41" s="2462"/>
      <c r="W41" s="2502"/>
      <c r="X41" s="1141" t="s">
        <v>442</v>
      </c>
      <c r="Y41" s="1141" t="s">
        <v>443</v>
      </c>
      <c r="Z41" s="1257" t="s">
        <v>444</v>
      </c>
      <c r="AA41" s="2451" t="s">
        <v>445</v>
      </c>
      <c r="AB41" s="2453"/>
      <c r="AC41" s="2497"/>
      <c r="AD41" s="2462"/>
      <c r="AE41" s="2502"/>
      <c r="AF41" s="1141" t="s">
        <v>442</v>
      </c>
      <c r="AG41" s="1141" t="s">
        <v>443</v>
      </c>
      <c r="AH41" s="1257" t="s">
        <v>444</v>
      </c>
      <c r="AI41" s="2451" t="s">
        <v>445</v>
      </c>
      <c r="AJ41" s="2453"/>
      <c r="AK41" s="2497"/>
      <c r="AL41" s="2500"/>
      <c r="AM41" s="2363"/>
      <c r="AS41" s="1074">
        <v>34</v>
      </c>
    </row>
    <row r="42" spans="1:45" s="2269"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108</v>
      </c>
      <c r="T42" s="1174" t="s">
        <v>109</v>
      </c>
      <c r="U42" s="1164" t="str">
        <f ca="1">OFFSET(U42,0,-1)</f>
        <v>2</v>
      </c>
      <c r="V42" s="1254">
        <f ca="1">OFFSET(V42,0,-1)+1</f>
        <v>3</v>
      </c>
      <c r="W42" s="1254"/>
      <c r="X42" s="1254">
        <f ca="1">OFFSET(X42,0,-1)+1</f>
        <v>1</v>
      </c>
      <c r="Y42" s="1254">
        <f ca="1">OFFSET(Y42,0,-1)+1</f>
        <v>2</v>
      </c>
      <c r="Z42" s="1254">
        <f ca="1">OFFSET(Z42,0,-1)+1</f>
        <v>3</v>
      </c>
      <c r="AA42" s="2490">
        <f ca="1">OFFSET(AA42,0,-1)+1</f>
        <v>4</v>
      </c>
      <c r="AB42" s="2490"/>
      <c r="AC42" s="1254">
        <f ca="1">OFFSET(AC42,0,-2)+1</f>
        <v>5</v>
      </c>
      <c r="AD42" s="1254">
        <f ca="1">OFFSET(AD42,0,-1)+1</f>
        <v>6</v>
      </c>
      <c r="AE42" s="1254"/>
      <c r="AF42" s="1254">
        <f ca="1">OFFSET(AF42,0,-1)+1</f>
        <v>1</v>
      </c>
      <c r="AG42" s="1254">
        <f ca="1">OFFSET(AG42,0,-1)+1</f>
        <v>2</v>
      </c>
      <c r="AH42" s="1254">
        <f ca="1">OFFSET(AH42,0,-1)+1</f>
        <v>3</v>
      </c>
      <c r="AI42" s="2490">
        <f ca="1">OFFSET(AI42,0,-1)+1</f>
        <v>4</v>
      </c>
      <c r="AJ42" s="2490"/>
      <c r="AK42" s="1254">
        <f ca="1">OFFSET(AK42,0,-2)+1</f>
        <v>5</v>
      </c>
      <c r="AL42" s="1164">
        <f ca="1">OFFSET(AL42,0,-1)</f>
        <v>5</v>
      </c>
      <c r="AM42" s="1254">
        <f ca="1">OFFSET(AM42,0,-1)+1</f>
        <v>6</v>
      </c>
      <c r="AN42" s="448"/>
      <c r="AO42" s="448"/>
      <c r="AP42" s="448"/>
      <c r="AQ42" s="448"/>
      <c r="AR42" s="448"/>
      <c r="AS42" s="433">
        <v>0</v>
      </c>
    </row>
    <row r="43" spans="1:45" ht="21.95" customHeight="1">
      <c r="A43" s="1282" t="s">
        <v>186</v>
      </c>
      <c r="B43" s="1282"/>
      <c r="C43" s="1282"/>
      <c r="D43" s="1282"/>
      <c r="E43" s="2483">
        <v>1</v>
      </c>
      <c r="F43" s="1282"/>
      <c r="G43" s="1282"/>
      <c r="H43" s="1282"/>
      <c r="I43" s="1282"/>
      <c r="J43" s="1282"/>
      <c r="K43" s="1282"/>
      <c r="L43" s="1283"/>
      <c r="M43" s="1284"/>
      <c r="N43" s="1284"/>
      <c r="O43" s="1284"/>
      <c r="P43" s="298"/>
      <c r="Q43" s="297"/>
      <c r="R43" s="292"/>
      <c r="S43" s="1255">
        <f>INDEX(PT_DIFFERENTIATION_NUM_NTAR,MATCH(A43,PT_DIFFERENTIATION_NTAR_ID,0))</f>
        <v>0</v>
      </c>
      <c r="T43" s="235" t="s">
        <v>123</v>
      </c>
      <c r="U43" s="237"/>
      <c r="V43" s="2469"/>
      <c r="W43" s="2470"/>
      <c r="X43" s="2470"/>
      <c r="Y43" s="2470"/>
      <c r="Z43" s="2470"/>
      <c r="AA43" s="2470"/>
      <c r="AB43" s="2470"/>
      <c r="AC43" s="2471"/>
      <c r="AD43" s="2469" t="str">
        <f>INDEX(PT_DIFFERENTIATION_NTAR,MATCH(A43,PT_DIFFERENTIATION_NTAR_ID,0))</f>
        <v/>
      </c>
      <c r="AE43" s="2470"/>
      <c r="AF43" s="2470"/>
      <c r="AG43" s="2470"/>
      <c r="AH43" s="2470"/>
      <c r="AI43" s="2470"/>
      <c r="AJ43" s="2470"/>
      <c r="AK43" s="2470"/>
      <c r="AL43" s="2471"/>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4">
        <v>21</v>
      </c>
    </row>
    <row r="44" spans="1:45" ht="21.95" customHeight="1">
      <c r="A44" s="1282" t="s">
        <v>186</v>
      </c>
      <c r="B44" s="1282" t="s">
        <v>187</v>
      </c>
      <c r="C44" s="1282"/>
      <c r="D44" s="1282"/>
      <c r="E44" s="2484"/>
      <c r="F44" s="2483">
        <v>1</v>
      </c>
      <c r="G44" s="1282"/>
      <c r="H44" s="1282"/>
      <c r="I44" s="1282"/>
      <c r="J44" s="1282"/>
      <c r="K44" s="1282"/>
      <c r="L44" s="1283"/>
      <c r="M44" s="1284"/>
      <c r="N44" s="1284"/>
      <c r="O44" s="1284"/>
      <c r="P44" s="1251"/>
      <c r="Q44" s="289"/>
      <c r="R44" s="290"/>
      <c r="S44" s="1255" t="str">
        <f>INDEX(PT_DIFFERENTIATION_NUM_TER,MATCH(B44,PT_DIFFERENTIATION_TER_ID,0))</f>
        <v>.</v>
      </c>
      <c r="T44" s="245" t="s">
        <v>395</v>
      </c>
      <c r="U44" s="237"/>
      <c r="V44" s="2469"/>
      <c r="W44" s="2470"/>
      <c r="X44" s="2470"/>
      <c r="Y44" s="2470"/>
      <c r="Z44" s="2470"/>
      <c r="AA44" s="2470"/>
      <c r="AB44" s="2470"/>
      <c r="AC44" s="2471"/>
      <c r="AD44" s="2469" t="str">
        <f>INDEX(PT_DIFFERENTIATION_TER,MATCH(B44,PT_DIFFERENTIATION_TER_ID,0))</f>
        <v/>
      </c>
      <c r="AE44" s="2470"/>
      <c r="AF44" s="2470"/>
      <c r="AG44" s="2470"/>
      <c r="AH44" s="2470"/>
      <c r="AI44" s="2470"/>
      <c r="AJ44" s="2470"/>
      <c r="AK44" s="2470"/>
      <c r="AL44" s="2471"/>
      <c r="AM44" s="1177" t="s">
        <v>396</v>
      </c>
      <c r="AO44" s="437"/>
      <c r="AP44" s="437" t="str">
        <f t="shared" si="1"/>
        <v>Территория действия тарифа</v>
      </c>
      <c r="AQ44" s="437"/>
      <c r="AR44" s="437"/>
      <c r="AS44" s="1074">
        <v>21</v>
      </c>
    </row>
    <row r="45" spans="1:45" ht="24" customHeight="1">
      <c r="A45" s="1282" t="s">
        <v>186</v>
      </c>
      <c r="B45" s="1282" t="s">
        <v>187</v>
      </c>
      <c r="C45" s="1282" t="s">
        <v>188</v>
      </c>
      <c r="D45" s="1282"/>
      <c r="E45" s="2484"/>
      <c r="F45" s="2484"/>
      <c r="G45" s="2483">
        <v>1</v>
      </c>
      <c r="H45" s="1282"/>
      <c r="I45" s="1282"/>
      <c r="J45" s="1282"/>
      <c r="K45" s="1282"/>
      <c r="L45" s="1283"/>
      <c r="M45" s="1284"/>
      <c r="N45" s="1284"/>
      <c r="O45" s="1284"/>
      <c r="P45" s="291"/>
      <c r="Q45" s="289"/>
      <c r="R45" s="290"/>
      <c r="S45" s="1255" t="str">
        <f>INDEX(PT_DIFFERENTIATION_NUM_CS,MATCH(C45,PT_DIFFERENTIATION_CS_ID,0))</f>
        <v>..</v>
      </c>
      <c r="T45" s="246" t="s">
        <v>397</v>
      </c>
      <c r="U45" s="237"/>
      <c r="V45" s="2469"/>
      <c r="W45" s="2470"/>
      <c r="X45" s="2470"/>
      <c r="Y45" s="2470"/>
      <c r="Z45" s="2470"/>
      <c r="AA45" s="2470"/>
      <c r="AB45" s="2470"/>
      <c r="AC45" s="2471"/>
      <c r="AD45" s="2469" t="str">
        <f>INDEX(PT_DIFFERENTIATION_CS,MATCH(C45,PT_DIFFERENTIATION_CS_ID,0))</f>
        <v/>
      </c>
      <c r="AE45" s="2470"/>
      <c r="AF45" s="2470"/>
      <c r="AG45" s="2470"/>
      <c r="AH45" s="2470"/>
      <c r="AI45" s="2470"/>
      <c r="AJ45" s="2470"/>
      <c r="AK45" s="2470"/>
      <c r="AL45" s="2471"/>
      <c r="AM45" s="1177" t="s">
        <v>398</v>
      </c>
      <c r="AO45" s="437"/>
      <c r="AP45" s="437" t="str">
        <f t="shared" si="1"/>
        <v xml:space="preserve">Наименование системы теплоснабжения </v>
      </c>
      <c r="AQ45" s="437"/>
      <c r="AR45" s="437"/>
      <c r="AS45" s="1074">
        <v>23</v>
      </c>
    </row>
    <row r="46" spans="1:45" ht="21.95" customHeight="1">
      <c r="A46" s="1282" t="s">
        <v>186</v>
      </c>
      <c r="B46" s="1282" t="s">
        <v>187</v>
      </c>
      <c r="C46" s="1282" t="s">
        <v>188</v>
      </c>
      <c r="D46" s="1282" t="s">
        <v>189</v>
      </c>
      <c r="E46" s="2484"/>
      <c r="F46" s="2484"/>
      <c r="G46" s="2484"/>
      <c r="H46" s="2483">
        <v>1</v>
      </c>
      <c r="I46" s="1282"/>
      <c r="J46" s="1282"/>
      <c r="K46" s="1282"/>
      <c r="L46" s="1283"/>
      <c r="M46" s="1284"/>
      <c r="N46" s="1284"/>
      <c r="O46" s="1284"/>
      <c r="P46" s="291"/>
      <c r="Q46" s="289"/>
      <c r="R46" s="290"/>
      <c r="S46" s="1255" t="str">
        <f>INDEX(PT_DIFFERENTIATION_NUM_IST_TE,MATCH(D46,PT_DIFFERENTIATION_IST_TE_ID,0))</f>
        <v>...</v>
      </c>
      <c r="T46" s="247" t="s">
        <v>399</v>
      </c>
      <c r="U46" s="237"/>
      <c r="V46" s="2469"/>
      <c r="W46" s="2470"/>
      <c r="X46" s="2470"/>
      <c r="Y46" s="2470"/>
      <c r="Z46" s="2470"/>
      <c r="AA46" s="2470"/>
      <c r="AB46" s="2470"/>
      <c r="AC46" s="2471"/>
      <c r="AD46" s="2469" t="str">
        <f>INDEX(PT_DIFFERENTIATION_IST_TE,MATCH(D46,PT_DIFFERENTIATION_IST_TE_ID,0))</f>
        <v/>
      </c>
      <c r="AE46" s="2470"/>
      <c r="AF46" s="2470"/>
      <c r="AG46" s="2470"/>
      <c r="AH46" s="2470"/>
      <c r="AI46" s="2470"/>
      <c r="AJ46" s="2470"/>
      <c r="AK46" s="2470"/>
      <c r="AL46" s="2471"/>
      <c r="AM46" s="1177" t="s">
        <v>400</v>
      </c>
      <c r="AO46" s="437"/>
      <c r="AP46" s="437" t="str">
        <f t="shared" si="1"/>
        <v xml:space="preserve">Источник тепловой энергии  </v>
      </c>
      <c r="AQ46" s="437"/>
      <c r="AR46" s="437"/>
      <c r="AS46" s="1074">
        <v>21</v>
      </c>
    </row>
    <row r="47" spans="1:45" s="2245" customFormat="1" ht="0" hidden="1" customHeight="1">
      <c r="A47" s="1262" t="s">
        <v>186</v>
      </c>
      <c r="B47" s="1262" t="s">
        <v>187</v>
      </c>
      <c r="C47" s="1262" t="s">
        <v>188</v>
      </c>
      <c r="D47" s="1262" t="s">
        <v>189</v>
      </c>
      <c r="E47" s="2484"/>
      <c r="F47" s="2484"/>
      <c r="G47" s="2484"/>
      <c r="H47" s="2484"/>
      <c r="I47" s="2481" t="str">
        <f>S46&amp;".1"</f>
        <v>....1</v>
      </c>
      <c r="J47" s="1262"/>
      <c r="K47" s="1262"/>
      <c r="L47" s="1265" t="s">
        <v>401</v>
      </c>
      <c r="M47" s="447"/>
      <c r="N47" s="447"/>
      <c r="O47" s="447"/>
      <c r="P47" s="2482">
        <v>1</v>
      </c>
      <c r="Q47" s="1250"/>
      <c r="R47" s="293"/>
      <c r="S47" s="966"/>
      <c r="T47" s="1302"/>
      <c r="U47" s="1303"/>
      <c r="V47" s="2512"/>
      <c r="W47" s="2513"/>
      <c r="X47" s="2513"/>
      <c r="Y47" s="2513"/>
      <c r="Z47" s="2513"/>
      <c r="AA47" s="2513"/>
      <c r="AB47" s="2513"/>
      <c r="AC47" s="2514"/>
      <c r="AD47" s="2512"/>
      <c r="AE47" s="2513"/>
      <c r="AF47" s="2513"/>
      <c r="AG47" s="2513"/>
      <c r="AH47" s="2513"/>
      <c r="AI47" s="2513"/>
      <c r="AJ47" s="2513"/>
      <c r="AK47" s="2513"/>
      <c r="AL47" s="2514"/>
      <c r="AM47" s="1304"/>
      <c r="AO47" s="437"/>
      <c r="AP47" s="437" t="str">
        <f t="shared" si="1"/>
        <v/>
      </c>
      <c r="AQ47" s="437"/>
      <c r="AR47" s="437"/>
      <c r="AS47" s="448">
        <v>0</v>
      </c>
    </row>
    <row r="48" spans="1:45" ht="21.95" customHeight="1">
      <c r="A48" s="1282" t="s">
        <v>186</v>
      </c>
      <c r="B48" s="1282" t="s">
        <v>187</v>
      </c>
      <c r="C48" s="1282" t="s">
        <v>188</v>
      </c>
      <c r="D48" s="1282" t="s">
        <v>189</v>
      </c>
      <c r="E48" s="2484"/>
      <c r="F48" s="2484"/>
      <c r="G48" s="2484"/>
      <c r="H48" s="2484"/>
      <c r="I48" s="2504"/>
      <c r="J48" s="2481" t="str">
        <f>S46&amp;".1"</f>
        <v>....1</v>
      </c>
      <c r="K48" s="1282"/>
      <c r="L48" s="1283" t="s">
        <v>404</v>
      </c>
      <c r="P48" s="2482"/>
      <c r="Q48" s="2482">
        <v>1</v>
      </c>
      <c r="R48" s="294"/>
      <c r="S48" s="1255" t="str">
        <f>$J48</f>
        <v>....1</v>
      </c>
      <c r="T48" s="223" t="s">
        <v>405</v>
      </c>
      <c r="U48" s="237"/>
      <c r="V48" s="2472"/>
      <c r="W48" s="2473"/>
      <c r="X48" s="2473"/>
      <c r="Y48" s="2473"/>
      <c r="Z48" s="2473"/>
      <c r="AA48" s="2473"/>
      <c r="AB48" s="2473"/>
      <c r="AC48" s="2474"/>
      <c r="AD48" s="2472"/>
      <c r="AE48" s="2473"/>
      <c r="AF48" s="2473"/>
      <c r="AG48" s="2473"/>
      <c r="AH48" s="2473"/>
      <c r="AI48" s="2473"/>
      <c r="AJ48" s="2473"/>
      <c r="AK48" s="2473"/>
      <c r="AL48" s="2474"/>
      <c r="AM48" s="1177" t="s">
        <v>406</v>
      </c>
      <c r="AO48" s="437"/>
      <c r="AP48" s="437" t="str">
        <f t="shared" si="1"/>
        <v>Группа потребителей</v>
      </c>
      <c r="AQ48" s="437"/>
      <c r="AR48" s="437"/>
      <c r="AS48" s="1074">
        <v>21</v>
      </c>
    </row>
    <row r="49" spans="1:45" ht="21.95" customHeight="1">
      <c r="A49" s="1282" t="s">
        <v>186</v>
      </c>
      <c r="B49" s="1282" t="s">
        <v>187</v>
      </c>
      <c r="C49" s="1282" t="s">
        <v>188</v>
      </c>
      <c r="D49" s="1282" t="s">
        <v>189</v>
      </c>
      <c r="E49" s="2484"/>
      <c r="F49" s="2484"/>
      <c r="G49" s="2484"/>
      <c r="H49" s="2484"/>
      <c r="I49" s="2504"/>
      <c r="J49" s="2504"/>
      <c r="K49" s="2481" t="str">
        <f>J48&amp;".1"</f>
        <v>....1.1</v>
      </c>
      <c r="L49" s="1283" t="s">
        <v>407</v>
      </c>
      <c r="P49" s="2482"/>
      <c r="Q49" s="2482"/>
      <c r="R49" s="294">
        <v>1</v>
      </c>
      <c r="S49" s="1255" t="str">
        <f>$K49</f>
        <v>....1.1</v>
      </c>
      <c r="T49" s="1266"/>
      <c r="U49" s="237"/>
      <c r="V49" s="688"/>
      <c r="W49" s="262"/>
      <c r="X49" s="688"/>
      <c r="Y49" s="1176"/>
      <c r="Z49" s="2486"/>
      <c r="AA49" s="2344" t="s">
        <v>64</v>
      </c>
      <c r="AB49" s="2486"/>
      <c r="AC49" s="2344" t="s">
        <v>64</v>
      </c>
      <c r="AD49" s="688"/>
      <c r="AE49" s="262"/>
      <c r="AF49" s="688"/>
      <c r="AG49" s="1176"/>
      <c r="AH49" s="2486"/>
      <c r="AI49" s="2344" t="s">
        <v>64</v>
      </c>
      <c r="AJ49" s="2505"/>
      <c r="AK49" s="2344" t="s">
        <v>64</v>
      </c>
      <c r="AL49" s="1267"/>
      <c r="AM49" s="2478" t="s">
        <v>449</v>
      </c>
      <c r="AN49" s="448" t="e">
        <f ca="1">STRCHECKDATE(V50:AL50)</f>
        <v>#NAME?</v>
      </c>
      <c r="AO49" s="437"/>
      <c r="AP49" s="437" t="str">
        <f t="shared" si="1"/>
        <v/>
      </c>
      <c r="AQ49" s="437"/>
      <c r="AR49" s="437"/>
      <c r="AS49" s="1074">
        <v>21</v>
      </c>
    </row>
    <row r="50" spans="1:45" ht="0" hidden="1" customHeight="1">
      <c r="A50" s="1282" t="s">
        <v>186</v>
      </c>
      <c r="B50" s="1282" t="s">
        <v>187</v>
      </c>
      <c r="C50" s="1282" t="s">
        <v>188</v>
      </c>
      <c r="D50" s="1282" t="s">
        <v>189</v>
      </c>
      <c r="E50" s="2484"/>
      <c r="F50" s="2484"/>
      <c r="G50" s="2484"/>
      <c r="H50" s="2484"/>
      <c r="I50" s="2504"/>
      <c r="J50" s="2504"/>
      <c r="K50" s="2481"/>
      <c r="L50" s="1283"/>
      <c r="P50" s="2482"/>
      <c r="Q50" s="2482"/>
      <c r="R50" s="294"/>
      <c r="S50" s="1261"/>
      <c r="T50" s="237"/>
      <c r="U50" s="237"/>
      <c r="V50" s="262"/>
      <c r="W50" s="262"/>
      <c r="X50" s="262"/>
      <c r="Y50" s="265" t="str">
        <f>Z49&amp;"-"&amp;AB49</f>
        <v>-</v>
      </c>
      <c r="Z50" s="2487"/>
      <c r="AA50" s="2344"/>
      <c r="AB50" s="2487"/>
      <c r="AC50" s="2344"/>
      <c r="AD50" s="262"/>
      <c r="AE50" s="262"/>
      <c r="AF50" s="262"/>
      <c r="AG50" s="265" t="str">
        <f>AH49&amp;"-"&amp;AJ49</f>
        <v>-</v>
      </c>
      <c r="AH50" s="2487"/>
      <c r="AI50" s="2344"/>
      <c r="AJ50" s="2506"/>
      <c r="AK50" s="2344"/>
      <c r="AL50" s="1268"/>
      <c r="AM50" s="2479"/>
      <c r="AO50" s="437"/>
      <c r="AP50" s="437" t="str">
        <f t="shared" si="1"/>
        <v/>
      </c>
      <c r="AQ50" s="437"/>
      <c r="AR50" s="437"/>
      <c r="AS50" s="1074">
        <v>0</v>
      </c>
    </row>
    <row r="51" spans="1:45" ht="11.45" customHeight="1">
      <c r="A51" s="1282" t="s">
        <v>186</v>
      </c>
      <c r="B51" s="1282" t="s">
        <v>187</v>
      </c>
      <c r="C51" s="1282" t="s">
        <v>188</v>
      </c>
      <c r="D51" s="1282" t="s">
        <v>189</v>
      </c>
      <c r="E51" s="2484"/>
      <c r="F51" s="2484"/>
      <c r="G51" s="2484"/>
      <c r="H51" s="2484"/>
      <c r="I51" s="2504"/>
      <c r="J51" s="2481"/>
      <c r="K51" s="1282"/>
      <c r="L51" s="1283"/>
      <c r="P51" s="2482"/>
      <c r="Q51" s="2482"/>
      <c r="R51" s="293"/>
      <c r="S51" s="1197"/>
      <c r="T51" s="224" t="s">
        <v>409</v>
      </c>
      <c r="U51" s="304"/>
      <c r="V51" s="304"/>
      <c r="W51" s="304"/>
      <c r="X51" s="304"/>
      <c r="Y51" s="304"/>
      <c r="Z51" s="304"/>
      <c r="AA51" s="304"/>
      <c r="AB51" s="304"/>
      <c r="AC51" s="304"/>
      <c r="AD51" s="304"/>
      <c r="AE51" s="304"/>
      <c r="AF51" s="304"/>
      <c r="AG51" s="304"/>
      <c r="AH51" s="304"/>
      <c r="AI51" s="304"/>
      <c r="AJ51" s="304"/>
      <c r="AK51" s="304"/>
      <c r="AL51" s="261"/>
      <c r="AM51" s="2480"/>
      <c r="AO51" s="437"/>
      <c r="AP51" s="437" t="str">
        <f t="shared" si="1"/>
        <v>Добавить вид теплоносителя (параметры теплоносителя)</v>
      </c>
      <c r="AQ51" s="437"/>
      <c r="AR51" s="437"/>
      <c r="AS51" s="1074">
        <v>11</v>
      </c>
    </row>
    <row r="52" spans="1:45" ht="11.45" customHeight="1">
      <c r="A52" s="1282" t="s">
        <v>186</v>
      </c>
      <c r="B52" s="1282" t="s">
        <v>187</v>
      </c>
      <c r="C52" s="1282" t="s">
        <v>188</v>
      </c>
      <c r="D52" s="1282" t="s">
        <v>189</v>
      </c>
      <c r="E52" s="2484"/>
      <c r="F52" s="2484"/>
      <c r="G52" s="2484"/>
      <c r="H52" s="2484"/>
      <c r="I52" s="2481"/>
      <c r="J52" s="1282"/>
      <c r="K52" s="1282"/>
      <c r="L52" s="1283"/>
      <c r="P52" s="2482"/>
      <c r="Q52" s="1250"/>
      <c r="R52" s="293"/>
      <c r="S52" s="1197"/>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4">
        <v>11</v>
      </c>
    </row>
    <row r="53" spans="1:45" ht="0" hidden="1" customHeight="1">
      <c r="A53" s="1282" t="s">
        <v>186</v>
      </c>
      <c r="B53" s="1282" t="s">
        <v>187</v>
      </c>
      <c r="C53" s="1282" t="s">
        <v>188</v>
      </c>
      <c r="D53" s="1282" t="s">
        <v>189</v>
      </c>
      <c r="E53" s="2484"/>
      <c r="F53" s="2484"/>
      <c r="G53" s="2484"/>
      <c r="H53" s="2483"/>
      <c r="I53" s="1282"/>
      <c r="J53" s="1282"/>
      <c r="K53" s="1282"/>
      <c r="L53" s="1283"/>
      <c r="M53" s="1284"/>
      <c r="N53" s="1284"/>
      <c r="O53" s="474"/>
      <c r="P53" s="297"/>
      <c r="Q53" s="312"/>
      <c r="R53" s="292"/>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7"/>
      <c r="AP53" s="437" t="str">
        <f t="shared" si="1"/>
        <v/>
      </c>
      <c r="AQ53" s="437"/>
      <c r="AR53" s="437"/>
      <c r="AS53" s="1074">
        <v>0</v>
      </c>
    </row>
    <row r="54" spans="1:45" s="2245" customFormat="1" ht="0" hidden="1" customHeight="1">
      <c r="A54" s="1262" t="s">
        <v>186</v>
      </c>
      <c r="B54" s="1262" t="s">
        <v>187</v>
      </c>
      <c r="C54" s="1262" t="s">
        <v>188</v>
      </c>
      <c r="D54" s="1233"/>
      <c r="E54" s="2484"/>
      <c r="F54" s="2484"/>
      <c r="G54" s="2483"/>
      <c r="H54" s="1233"/>
      <c r="I54" s="1233"/>
      <c r="J54" s="1233"/>
      <c r="K54" s="1233"/>
      <c r="L54" s="1258"/>
      <c r="M54" s="1234"/>
      <c r="N54" s="1234"/>
      <c r="P54" s="1235"/>
      <c r="Q54" s="1236"/>
      <c r="R54" s="1235"/>
      <c r="S54" s="1241"/>
      <c r="T54" s="1244" t="s">
        <v>412</v>
      </c>
      <c r="U54" s="1243"/>
      <c r="V54" s="1243"/>
      <c r="W54" s="1243"/>
      <c r="X54" s="1243"/>
      <c r="Y54" s="1243"/>
      <c r="Z54" s="1243"/>
      <c r="AA54" s="1243"/>
      <c r="AB54" s="1243"/>
      <c r="AC54" s="1243"/>
      <c r="AD54" s="1243"/>
      <c r="AE54" s="1243"/>
      <c r="AF54" s="1243"/>
      <c r="AG54" s="1243"/>
      <c r="AH54" s="1243"/>
      <c r="AI54" s="1243"/>
      <c r="AJ54" s="1243"/>
      <c r="AK54" s="1243"/>
      <c r="AL54" s="1243"/>
      <c r="AM54" s="1243"/>
      <c r="AO54" s="720"/>
      <c r="AP54" s="720" t="str">
        <f t="shared" si="1"/>
        <v>Добавить источник для дифференциации</v>
      </c>
      <c r="AQ54" s="720"/>
      <c r="AR54" s="720"/>
      <c r="AS54" s="455">
        <v>0</v>
      </c>
    </row>
    <row r="55" spans="1:45" s="2245" customFormat="1" ht="0" hidden="1" customHeight="1">
      <c r="A55" s="1262" t="s">
        <v>186</v>
      </c>
      <c r="B55" s="1262" t="s">
        <v>187</v>
      </c>
      <c r="C55" s="1233"/>
      <c r="D55" s="1233"/>
      <c r="E55" s="2484"/>
      <c r="F55" s="2483"/>
      <c r="G55" s="1233"/>
      <c r="H55" s="1233"/>
      <c r="I55" s="1233"/>
      <c r="J55" s="1233"/>
      <c r="K55" s="1233"/>
      <c r="L55" s="1258"/>
      <c r="M55" s="1240"/>
      <c r="N55" s="1240"/>
      <c r="P55" s="1235"/>
      <c r="Q55" s="1236"/>
      <c r="R55" s="1235"/>
      <c r="S55" s="1241"/>
      <c r="T55" s="1244" t="s">
        <v>413</v>
      </c>
      <c r="U55" s="1243"/>
      <c r="V55" s="1243"/>
      <c r="W55" s="1243"/>
      <c r="X55" s="1243"/>
      <c r="Y55" s="1243"/>
      <c r="Z55" s="1243"/>
      <c r="AA55" s="1243"/>
      <c r="AB55" s="1243"/>
      <c r="AC55" s="1243"/>
      <c r="AD55" s="1243"/>
      <c r="AE55" s="1243"/>
      <c r="AF55" s="1243"/>
      <c r="AG55" s="1243"/>
      <c r="AH55" s="1243"/>
      <c r="AI55" s="1243"/>
      <c r="AJ55" s="1243"/>
      <c r="AK55" s="1243"/>
      <c r="AL55" s="1243"/>
      <c r="AM55" s="1243"/>
      <c r="AO55" s="720"/>
      <c r="AP55" s="720" t="str">
        <f t="shared" si="1"/>
        <v>Добавить централизованную систему для дифференциации</v>
      </c>
      <c r="AQ55" s="720"/>
      <c r="AR55" s="720"/>
      <c r="AS55" s="455">
        <v>0</v>
      </c>
    </row>
    <row r="56" spans="1:45" s="2245" customFormat="1" ht="0" hidden="1" customHeight="1">
      <c r="A56" s="1262" t="s">
        <v>186</v>
      </c>
      <c r="B56" s="1262"/>
      <c r="C56" s="1262"/>
      <c r="D56" s="1262"/>
      <c r="E56" s="2483"/>
      <c r="F56" s="1262"/>
      <c r="G56" s="1262"/>
      <c r="H56" s="1262"/>
      <c r="I56" s="1262"/>
      <c r="J56" s="1262"/>
      <c r="K56" s="1262"/>
      <c r="L56" s="1265"/>
      <c r="M56" s="1240"/>
      <c r="N56" s="1240"/>
      <c r="O56" s="455"/>
      <c r="P56" s="317"/>
      <c r="Q56" s="1263"/>
      <c r="R56" s="317"/>
      <c r="S56" s="1241"/>
      <c r="T56" s="1244" t="s">
        <v>414</v>
      </c>
      <c r="U56" s="1243"/>
      <c r="V56" s="1243"/>
      <c r="W56" s="1243"/>
      <c r="X56" s="1243"/>
      <c r="Y56" s="1243"/>
      <c r="Z56" s="1243"/>
      <c r="AA56" s="1243"/>
      <c r="AB56" s="1243"/>
      <c r="AC56" s="1243"/>
      <c r="AD56" s="1243"/>
      <c r="AE56" s="1243"/>
      <c r="AF56" s="1243"/>
      <c r="AG56" s="1243"/>
      <c r="AH56" s="1243"/>
      <c r="AI56" s="1243"/>
      <c r="AJ56" s="1243"/>
      <c r="AK56" s="1243"/>
      <c r="AL56" s="1243"/>
      <c r="AM56" s="1243"/>
      <c r="AO56" s="437"/>
      <c r="AP56" s="437" t="str">
        <f t="shared" si="1"/>
        <v>Добавить территорию для дифференциации</v>
      </c>
      <c r="AQ56" s="437"/>
      <c r="AR56" s="437"/>
      <c r="AS56" s="448">
        <v>0</v>
      </c>
    </row>
    <row r="57" spans="1:45" s="2245" customFormat="1" ht="4.1500000000000004" customHeight="1">
      <c r="A57" s="1233"/>
      <c r="B57" s="1233"/>
      <c r="C57" s="1233"/>
      <c r="D57" s="1233"/>
      <c r="E57" s="1262"/>
      <c r="F57" s="1233"/>
      <c r="G57" s="1233"/>
      <c r="H57" s="1233"/>
      <c r="I57" s="1233"/>
      <c r="J57" s="1233"/>
      <c r="K57" s="1233"/>
      <c r="L57" s="1258"/>
      <c r="M57" s="1240"/>
      <c r="N57" s="1240"/>
      <c r="P57" s="1235"/>
      <c r="Q57" s="1236"/>
      <c r="R57" s="1235"/>
      <c r="S57" s="1241"/>
      <c r="T57" s="1244" t="s">
        <v>446</v>
      </c>
      <c r="U57" s="1243"/>
      <c r="V57" s="1243"/>
      <c r="W57" s="1243"/>
      <c r="X57" s="1243"/>
      <c r="Y57" s="1243"/>
      <c r="Z57" s="1243"/>
      <c r="AA57" s="1243"/>
      <c r="AB57" s="1243"/>
      <c r="AC57" s="1243"/>
      <c r="AD57" s="1243"/>
      <c r="AE57" s="1243"/>
      <c r="AF57" s="1243"/>
      <c r="AG57" s="1243"/>
      <c r="AH57" s="1243"/>
      <c r="AI57" s="1243"/>
      <c r="AJ57" s="1243"/>
      <c r="AK57" s="1243"/>
      <c r="AL57" s="1243"/>
      <c r="AM57" s="1243"/>
      <c r="AO57" s="720"/>
      <c r="AP57" s="720" t="str">
        <f t="shared" si="1"/>
        <v>Добавить наименование тарифа</v>
      </c>
      <c r="AQ57" s="720"/>
      <c r="AR57" s="720"/>
      <c r="AS57" s="455">
        <v>4</v>
      </c>
    </row>
    <row r="58" spans="1:45" ht="11.45" customHeight="1">
      <c r="M58" s="1079"/>
      <c r="N58" s="1079"/>
      <c r="O58" s="474"/>
      <c r="P58" s="1074"/>
      <c r="Q58" s="1074"/>
      <c r="R58" s="1074"/>
      <c r="S58" s="1074"/>
      <c r="AN58" s="1074"/>
      <c r="AO58" s="1074"/>
      <c r="AP58" s="1074"/>
      <c r="AQ58" s="1074"/>
      <c r="AR58" s="1074"/>
      <c r="AS58" s="1074">
        <v>11</v>
      </c>
    </row>
    <row r="59" spans="1:45" ht="14.65" customHeight="1">
      <c r="O59" s="474"/>
      <c r="S59" s="1172"/>
      <c r="T59" s="2503"/>
      <c r="U59" s="2503"/>
      <c r="V59" s="2503"/>
      <c r="W59" s="2503"/>
      <c r="X59" s="2503"/>
      <c r="Y59" s="2503"/>
      <c r="Z59" s="2503"/>
      <c r="AA59" s="2503"/>
      <c r="AB59" s="2503"/>
      <c r="AC59" s="2503"/>
      <c r="AD59" s="2503"/>
      <c r="AE59" s="2503"/>
      <c r="AF59" s="2503"/>
      <c r="AG59" s="2503"/>
      <c r="AH59" s="2503"/>
      <c r="AI59" s="2503"/>
      <c r="AJ59" s="2503"/>
      <c r="AK59" s="2503"/>
      <c r="AL59" s="2503"/>
      <c r="AM59" s="2503"/>
      <c r="AS59" s="1074">
        <v>14</v>
      </c>
    </row>
    <row r="60" spans="1:45" ht="14.65" customHeight="1">
      <c r="O60" s="474"/>
      <c r="T60" s="2503"/>
      <c r="U60" s="2503"/>
      <c r="V60" s="2503"/>
      <c r="W60" s="2503"/>
      <c r="X60" s="2503"/>
      <c r="Y60" s="2503"/>
      <c r="Z60" s="2503"/>
      <c r="AA60" s="2503"/>
      <c r="AB60" s="2503"/>
      <c r="AC60" s="2503"/>
      <c r="AD60" s="2503"/>
      <c r="AE60" s="2503"/>
      <c r="AF60" s="2503"/>
      <c r="AG60" s="2503"/>
      <c r="AH60" s="2503"/>
      <c r="AI60" s="2503"/>
      <c r="AJ60" s="2503"/>
      <c r="AK60" s="2503"/>
      <c r="AL60" s="2503"/>
      <c r="AM60" s="2503"/>
      <c r="AS60" s="1074">
        <v>14</v>
      </c>
    </row>
    <row r="61" spans="1:45" ht="14.65" customHeight="1">
      <c r="O61" s="474"/>
      <c r="T61" s="2503"/>
      <c r="U61" s="2503"/>
      <c r="V61" s="2503"/>
      <c r="W61" s="2503"/>
      <c r="X61" s="2503"/>
      <c r="Y61" s="2503"/>
      <c r="Z61" s="2503"/>
      <c r="AA61" s="2503"/>
      <c r="AB61" s="2503"/>
      <c r="AC61" s="2503"/>
      <c r="AD61" s="2503"/>
      <c r="AE61" s="2503"/>
      <c r="AF61" s="2503"/>
      <c r="AG61" s="2503"/>
      <c r="AH61" s="2503"/>
      <c r="AI61" s="2503"/>
      <c r="AJ61" s="2503"/>
      <c r="AK61" s="2503"/>
      <c r="AL61" s="2503"/>
      <c r="AM61" s="2503"/>
      <c r="AS61" s="1074">
        <v>14</v>
      </c>
    </row>
    <row r="62" spans="1:45" ht="14.65" customHeight="1">
      <c r="O62" s="474"/>
      <c r="AS62" s="1074">
        <v>14</v>
      </c>
    </row>
    <row r="63" spans="1:45" ht="14.65" customHeight="1">
      <c r="O63" s="474"/>
      <c r="S63" s="1172"/>
      <c r="T63" s="2410"/>
      <c r="U63" s="2503"/>
      <c r="V63" s="2503"/>
      <c r="W63" s="2503"/>
      <c r="X63" s="2503"/>
      <c r="Y63" s="2503"/>
      <c r="Z63" s="2503"/>
      <c r="AA63" s="2503"/>
      <c r="AB63" s="2503"/>
      <c r="AC63" s="2503"/>
      <c r="AD63" s="2503"/>
      <c r="AE63" s="2503"/>
      <c r="AF63" s="2503"/>
      <c r="AG63" s="2503"/>
      <c r="AH63" s="2503"/>
      <c r="AI63" s="2503"/>
      <c r="AJ63" s="2503"/>
      <c r="AK63" s="2503"/>
      <c r="AL63" s="2503"/>
      <c r="AM63" s="2503"/>
      <c r="AS63" s="1074">
        <v>14</v>
      </c>
    </row>
    <row r="64" spans="1:45" ht="14.65" customHeight="1">
      <c r="O64" s="474"/>
      <c r="T64" s="2503"/>
      <c r="U64" s="2503"/>
      <c r="V64" s="2503"/>
      <c r="W64" s="2503"/>
      <c r="X64" s="2503"/>
      <c r="Y64" s="2503"/>
      <c r="Z64" s="2503"/>
      <c r="AA64" s="2503"/>
      <c r="AB64" s="2503"/>
      <c r="AC64" s="2503"/>
      <c r="AD64" s="2503"/>
      <c r="AE64" s="2503"/>
      <c r="AF64" s="2503"/>
      <c r="AG64" s="2503"/>
      <c r="AH64" s="2503"/>
      <c r="AI64" s="2503"/>
      <c r="AJ64" s="2503"/>
      <c r="AK64" s="2503"/>
      <c r="AL64" s="2503"/>
      <c r="AM64" s="2503"/>
      <c r="AS64" s="1074">
        <v>14</v>
      </c>
    </row>
    <row r="65" spans="1:45" ht="14.65" customHeight="1">
      <c r="T65" s="2503"/>
      <c r="U65" s="2503"/>
      <c r="V65" s="2503"/>
      <c r="W65" s="2503"/>
      <c r="X65" s="2503"/>
      <c r="Y65" s="2503"/>
      <c r="Z65" s="2503"/>
      <c r="AA65" s="2503"/>
      <c r="AB65" s="2503"/>
      <c r="AC65" s="2503"/>
      <c r="AD65" s="2503"/>
      <c r="AE65" s="2503"/>
      <c r="AF65" s="2503"/>
      <c r="AG65" s="2503"/>
      <c r="AH65" s="2503"/>
      <c r="AI65" s="2503"/>
      <c r="AJ65" s="2503"/>
      <c r="AK65" s="2503"/>
      <c r="AL65" s="2503"/>
      <c r="AM65" s="2503"/>
      <c r="AS65" s="1074">
        <v>14</v>
      </c>
    </row>
    <row r="66" spans="1:45" ht="22.5" hidden="1" customHeight="1">
      <c r="A66" s="1079" t="s">
        <v>81</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8">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8">
        <v>10</v>
      </c>
      <c r="AO66" s="448">
        <v>10</v>
      </c>
      <c r="AP66" s="448">
        <v>10</v>
      </c>
      <c r="AQ66" s="448">
        <v>10</v>
      </c>
      <c r="AR66" s="448">
        <v>10</v>
      </c>
      <c r="AS66" s="1074">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238" hidden="1"/>
    <col min="2" max="2" width="11" style="2238" hidden="1" customWidth="1"/>
    <col min="3" max="3" width="10.5703125" style="2238" hidden="1"/>
    <col min="4" max="4" width="11.85546875" style="2238" hidden="1" customWidth="1"/>
    <col min="5" max="5" width="10" style="2238" hidden="1" customWidth="1"/>
    <col min="6" max="6" width="8.7109375" style="2238" hidden="1" customWidth="1"/>
    <col min="7" max="7" width="7.5703125" style="2238" hidden="1" customWidth="1"/>
    <col min="8" max="8" width="11.42578125" style="2238" hidden="1" customWidth="1"/>
    <col min="9" max="9" width="12" style="2238" hidden="1" customWidth="1"/>
    <col min="10" max="10" width="9.85546875" style="2238" hidden="1" customWidth="1"/>
    <col min="11" max="12" width="11.42578125" style="2238" hidden="1" customWidth="1"/>
    <col min="13" max="13" width="19.140625" style="2242" hidden="1" customWidth="1"/>
    <col min="14" max="15" width="12.28515625" style="2272" hidden="1" customWidth="1"/>
    <col min="16" max="16" width="23.42578125" style="2272" hidden="1" customWidth="1"/>
    <col min="17" max="17" width="3.7109375" style="2272" hidden="1" customWidth="1"/>
    <col min="18" max="20" width="3" style="2273" customWidth="1"/>
    <col min="21" max="21" width="12" style="2274" customWidth="1"/>
    <col min="22" max="22" width="31" style="2238" customWidth="1"/>
    <col min="23" max="23" width="0.140625" style="2238" customWidth="1"/>
    <col min="24" max="28" width="21.7109375" style="2238" hidden="1" customWidth="1"/>
    <col min="29" max="29" width="11.7109375" style="2238" hidden="1" customWidth="1"/>
    <col min="30" max="30" width="3.7109375" style="2238" hidden="1" customWidth="1"/>
    <col min="31" max="31" width="11.7109375" style="2238" hidden="1" customWidth="1"/>
    <col min="32" max="32" width="8.5703125" style="2238" hidden="1" customWidth="1"/>
    <col min="33" max="33" width="21.7109375" style="2238" customWidth="1"/>
    <col min="34" max="37" width="21" style="2238" customWidth="1"/>
    <col min="38" max="38" width="11" style="2238" customWidth="1"/>
    <col min="39" max="39" width="3.7109375" style="2238" customWidth="1"/>
    <col min="40" max="40" width="11" style="2238" customWidth="1"/>
    <col min="41" max="41" width="8.5703125" style="2238" hidden="1" customWidth="1"/>
    <col min="42" max="42" width="4" style="2238" customWidth="1"/>
    <col min="43" max="43" width="115" style="2238" customWidth="1"/>
    <col min="44" max="48" width="10" style="2245" customWidth="1"/>
    <col min="49" max="49" width="10.5703125" style="2238" hidden="1"/>
  </cols>
  <sheetData>
    <row r="1" spans="1:49" ht="22.5" hidden="1" customHeight="1">
      <c r="AB1" s="264"/>
      <c r="AC1" s="264"/>
      <c r="AK1" s="264"/>
      <c r="AL1" s="264"/>
      <c r="AW1" s="1074" t="s">
        <v>14</v>
      </c>
    </row>
    <row r="2" spans="1:49" ht="21" hidden="1" customHeight="1">
      <c r="A2" s="1186"/>
      <c r="B2" s="1186"/>
      <c r="C2" s="1186"/>
      <c r="D2" s="1186"/>
      <c r="E2" s="2507">
        <v>1</v>
      </c>
      <c r="F2" s="1186"/>
      <c r="G2" s="1186"/>
      <c r="H2" s="1186"/>
      <c r="I2" s="1186"/>
      <c r="J2" s="1186"/>
      <c r="K2" s="1186"/>
      <c r="L2" s="1186"/>
      <c r="M2" s="1229"/>
      <c r="N2" s="625"/>
      <c r="O2" s="625"/>
      <c r="P2" s="625"/>
      <c r="Q2" s="298"/>
      <c r="R2" s="297"/>
      <c r="S2" s="297"/>
      <c r="T2" s="292"/>
      <c r="U2" s="1255" t="e">
        <f>INDEX(PT_DIFFERENTIATION_NUM_NTAR,MATCH(A2,PT_DIFFERENTIATION_NTAR_ID,0))</f>
        <v>#N/A</v>
      </c>
      <c r="V2" s="235" t="s">
        <v>123</v>
      </c>
      <c r="W2" s="237"/>
      <c r="X2" s="2469"/>
      <c r="Y2" s="2470"/>
      <c r="Z2" s="2470"/>
      <c r="AA2" s="2470"/>
      <c r="AB2" s="2470"/>
      <c r="AC2" s="2470"/>
      <c r="AD2" s="2470"/>
      <c r="AE2" s="2470"/>
      <c r="AF2" s="2471"/>
      <c r="AG2" s="2469" t="e">
        <f>INDEX(PT_DIFFERENTIATION_NTAR,MATCH(A2,PT_DIFFERENTIATION_NTAR_ID,0))</f>
        <v>#N/A</v>
      </c>
      <c r="AH2" s="2470"/>
      <c r="AI2" s="2470"/>
      <c r="AJ2" s="2470"/>
      <c r="AK2" s="2470"/>
      <c r="AL2" s="2470"/>
      <c r="AM2" s="2470"/>
      <c r="AN2" s="2470"/>
      <c r="AO2" s="2470"/>
      <c r="AP2" s="2471"/>
      <c r="AQ2" s="1177" t="s">
        <v>394</v>
      </c>
      <c r="AS2" s="437"/>
      <c r="AT2" s="437" t="str">
        <f t="shared" ref="AT2:AT8" si="0">IF(V2="","",V2)</f>
        <v>Наименование тарифа</v>
      </c>
      <c r="AU2" s="437"/>
      <c r="AV2" s="437"/>
      <c r="AW2" s="1074">
        <v>0</v>
      </c>
    </row>
    <row r="3" spans="1:49" ht="21" hidden="1" customHeight="1">
      <c r="A3" s="1186"/>
      <c r="B3" s="1186"/>
      <c r="C3" s="1186"/>
      <c r="D3" s="1186"/>
      <c r="E3" s="2508"/>
      <c r="F3" s="2507">
        <v>1</v>
      </c>
      <c r="G3" s="1186"/>
      <c r="H3" s="1186"/>
      <c r="I3" s="1186"/>
      <c r="J3" s="1186"/>
      <c r="K3" s="1186"/>
      <c r="L3" s="1186"/>
      <c r="M3" s="1229"/>
      <c r="N3" s="625"/>
      <c r="O3" s="625"/>
      <c r="P3" s="625"/>
      <c r="Q3" s="1251"/>
      <c r="R3" s="289"/>
      <c r="S3" s="446"/>
      <c r="T3" s="290"/>
      <c r="U3" s="1255" t="e">
        <f>INDEX(PT_DIFFERENTIATION_NUM_TER,MATCH(B3,PT_DIFFERENTIATION_TER_ID,0))</f>
        <v>#N/A</v>
      </c>
      <c r="V3" s="245" t="s">
        <v>395</v>
      </c>
      <c r="W3" s="237"/>
      <c r="X3" s="2469"/>
      <c r="Y3" s="2470"/>
      <c r="Z3" s="2470"/>
      <c r="AA3" s="2470"/>
      <c r="AB3" s="2470"/>
      <c r="AC3" s="2470"/>
      <c r="AD3" s="2470"/>
      <c r="AE3" s="2470"/>
      <c r="AF3" s="2471"/>
      <c r="AG3" s="2469" t="e">
        <f>INDEX(PT_DIFFERENTIATION_TER,MATCH(B3,PT_DIFFERENTIATION_TER_ID,0))</f>
        <v>#N/A</v>
      </c>
      <c r="AH3" s="2470"/>
      <c r="AI3" s="2470"/>
      <c r="AJ3" s="2470"/>
      <c r="AK3" s="2470"/>
      <c r="AL3" s="2470"/>
      <c r="AM3" s="2470"/>
      <c r="AN3" s="2470"/>
      <c r="AO3" s="2470"/>
      <c r="AP3" s="2471"/>
      <c r="AQ3" s="1177" t="s">
        <v>396</v>
      </c>
      <c r="AS3" s="437"/>
      <c r="AT3" s="437" t="str">
        <f t="shared" si="0"/>
        <v>Территория действия тарифа</v>
      </c>
      <c r="AU3" s="437"/>
      <c r="AV3" s="437"/>
      <c r="AW3" s="1074">
        <v>0</v>
      </c>
    </row>
    <row r="4" spans="1:49" ht="22.5" hidden="1" customHeight="1">
      <c r="A4" s="1186"/>
      <c r="B4" s="1186"/>
      <c r="C4" s="1186"/>
      <c r="D4" s="1186"/>
      <c r="E4" s="2508"/>
      <c r="F4" s="2508"/>
      <c r="G4" s="2507">
        <v>1</v>
      </c>
      <c r="H4" s="1186"/>
      <c r="I4" s="1186"/>
      <c r="J4" s="1186"/>
      <c r="K4" s="1186"/>
      <c r="L4" s="1186"/>
      <c r="M4" s="1229"/>
      <c r="N4" s="625"/>
      <c r="O4" s="625"/>
      <c r="P4" s="625"/>
      <c r="Q4" s="291"/>
      <c r="R4" s="289"/>
      <c r="S4" s="446"/>
      <c r="T4" s="290"/>
      <c r="U4" s="1255" t="e">
        <f>INDEX(PT_DIFFERENTIATION_NUM_CS,MATCH(C4,PT_DIFFERENTIATION_CS_ID,0))</f>
        <v>#N/A</v>
      </c>
      <c r="V4" s="246" t="s">
        <v>397</v>
      </c>
      <c r="W4" s="237"/>
      <c r="X4" s="2469"/>
      <c r="Y4" s="2470"/>
      <c r="Z4" s="2470"/>
      <c r="AA4" s="2470"/>
      <c r="AB4" s="2470"/>
      <c r="AC4" s="2470"/>
      <c r="AD4" s="2470"/>
      <c r="AE4" s="2470"/>
      <c r="AF4" s="2471"/>
      <c r="AG4" s="2469" t="e">
        <f>INDEX(PT_DIFFERENTIATION_CS,MATCH(C4,PT_DIFFERENTIATION_CS_ID,0))</f>
        <v>#N/A</v>
      </c>
      <c r="AH4" s="2470"/>
      <c r="AI4" s="2470"/>
      <c r="AJ4" s="2470"/>
      <c r="AK4" s="2470"/>
      <c r="AL4" s="2470"/>
      <c r="AM4" s="2470"/>
      <c r="AN4" s="2470"/>
      <c r="AO4" s="2470"/>
      <c r="AP4" s="2471"/>
      <c r="AQ4" s="1177" t="s">
        <v>398</v>
      </c>
      <c r="AS4" s="437"/>
      <c r="AT4" s="437" t="str">
        <f t="shared" si="0"/>
        <v xml:space="preserve">Наименование системы теплоснабжения </v>
      </c>
      <c r="AU4" s="437"/>
      <c r="AV4" s="437"/>
      <c r="AW4" s="1074">
        <v>0</v>
      </c>
    </row>
    <row r="5" spans="1:49" ht="21" hidden="1" customHeight="1">
      <c r="A5" s="1186"/>
      <c r="B5" s="1186"/>
      <c r="C5" s="1186"/>
      <c r="D5" s="1186"/>
      <c r="E5" s="2508"/>
      <c r="F5" s="2508"/>
      <c r="G5" s="2508"/>
      <c r="H5" s="2507">
        <v>1</v>
      </c>
      <c r="I5" s="1186"/>
      <c r="J5" s="1186"/>
      <c r="K5" s="1186"/>
      <c r="L5" s="1186"/>
      <c r="M5" s="1229"/>
      <c r="N5" s="625"/>
      <c r="O5" s="625"/>
      <c r="P5" s="625"/>
      <c r="Q5" s="291"/>
      <c r="R5" s="289"/>
      <c r="S5" s="446"/>
      <c r="T5" s="290"/>
      <c r="U5" s="1255" t="e">
        <f>INDEX(PT_DIFFERENTIATION_NUM_IST_TE,MATCH(D5,PT_DIFFERENTIATION_IST_TE_ID,0))</f>
        <v>#N/A</v>
      </c>
      <c r="V5" s="247" t="s">
        <v>399</v>
      </c>
      <c r="W5" s="237"/>
      <c r="X5" s="2469"/>
      <c r="Y5" s="2470"/>
      <c r="Z5" s="2470"/>
      <c r="AA5" s="2470"/>
      <c r="AB5" s="2470"/>
      <c r="AC5" s="2470"/>
      <c r="AD5" s="2470"/>
      <c r="AE5" s="2470"/>
      <c r="AF5" s="2471"/>
      <c r="AG5" s="2469" t="e">
        <f>INDEX(PT_DIFFERENTIATION_IST_TE,MATCH(D5,PT_DIFFERENTIATION_IST_TE_ID,0))</f>
        <v>#N/A</v>
      </c>
      <c r="AH5" s="2470"/>
      <c r="AI5" s="2470"/>
      <c r="AJ5" s="2470"/>
      <c r="AK5" s="2470"/>
      <c r="AL5" s="2470"/>
      <c r="AM5" s="2470"/>
      <c r="AN5" s="2470"/>
      <c r="AO5" s="2470"/>
      <c r="AP5" s="2471"/>
      <c r="AQ5" s="1177" t="s">
        <v>400</v>
      </c>
      <c r="AS5" s="437"/>
      <c r="AT5" s="437" t="str">
        <f t="shared" si="0"/>
        <v xml:space="preserve">Источник тепловой энергии  </v>
      </c>
      <c r="AU5" s="437"/>
      <c r="AV5" s="437"/>
      <c r="AW5" s="1074">
        <v>0</v>
      </c>
    </row>
    <row r="6" spans="1:49" ht="14.25" hidden="1" customHeight="1">
      <c r="A6" s="1186"/>
      <c r="B6" s="1186"/>
      <c r="C6" s="1186"/>
      <c r="D6" s="1186"/>
      <c r="E6" s="2508"/>
      <c r="F6" s="2508"/>
      <c r="G6" s="2508"/>
      <c r="H6" s="2508"/>
      <c r="I6" s="2363" t="e">
        <f>U5&amp;".1"</f>
        <v>#N/A</v>
      </c>
      <c r="J6" s="1186"/>
      <c r="K6" s="1186"/>
      <c r="L6" s="1186"/>
      <c r="M6" s="1229" t="s">
        <v>401</v>
      </c>
      <c r="N6" s="446"/>
      <c r="Q6" s="2482">
        <v>1</v>
      </c>
      <c r="R6" s="1250"/>
      <c r="S6" s="1250"/>
      <c r="T6" s="293"/>
      <c r="U6" s="966"/>
      <c r="V6" s="1302"/>
      <c r="W6" s="1303"/>
      <c r="X6" s="2512"/>
      <c r="Y6" s="2513"/>
      <c r="Z6" s="2513"/>
      <c r="AA6" s="2513"/>
      <c r="AB6" s="2513"/>
      <c r="AC6" s="2513"/>
      <c r="AD6" s="2513"/>
      <c r="AE6" s="2513"/>
      <c r="AF6" s="2514"/>
      <c r="AG6" s="2512"/>
      <c r="AH6" s="2513"/>
      <c r="AI6" s="2513"/>
      <c r="AJ6" s="2513"/>
      <c r="AK6" s="2513"/>
      <c r="AL6" s="2513"/>
      <c r="AM6" s="2513"/>
      <c r="AN6" s="2513"/>
      <c r="AO6" s="2513"/>
      <c r="AP6" s="2514"/>
      <c r="AQ6" s="1304"/>
      <c r="AS6" s="437"/>
      <c r="AT6" s="437" t="str">
        <f t="shared" si="0"/>
        <v/>
      </c>
      <c r="AU6" s="437"/>
      <c r="AV6" s="437"/>
      <c r="AW6" s="1074">
        <v>0</v>
      </c>
    </row>
    <row r="7" spans="1:49" ht="21" hidden="1" customHeight="1">
      <c r="A7" s="1186"/>
      <c r="B7" s="1186"/>
      <c r="C7" s="1186"/>
      <c r="D7" s="1186"/>
      <c r="E7" s="2508"/>
      <c r="F7" s="2508"/>
      <c r="G7" s="2508"/>
      <c r="H7" s="2508"/>
      <c r="I7" s="2335"/>
      <c r="J7" s="2363" t="e">
        <f>I6&amp;".1"</f>
        <v>#N/A</v>
      </c>
      <c r="K7" s="1186"/>
      <c r="L7" s="1186"/>
      <c r="M7" s="1229" t="s">
        <v>404</v>
      </c>
      <c r="N7" s="446"/>
      <c r="O7" s="264"/>
      <c r="Q7" s="2482"/>
      <c r="R7" s="2482">
        <v>1</v>
      </c>
      <c r="S7" s="455"/>
      <c r="T7" s="294"/>
      <c r="U7" s="1255" t="e">
        <f>$J7</f>
        <v>#N/A</v>
      </c>
      <c r="V7" s="223" t="s">
        <v>405</v>
      </c>
      <c r="W7" s="237"/>
      <c r="X7" s="2472"/>
      <c r="Y7" s="2473"/>
      <c r="Z7" s="2473"/>
      <c r="AA7" s="2473"/>
      <c r="AB7" s="2473"/>
      <c r="AC7" s="2465"/>
      <c r="AD7" s="2465"/>
      <c r="AE7" s="2465"/>
      <c r="AF7" s="2522"/>
      <c r="AG7" s="2472"/>
      <c r="AH7" s="2473"/>
      <c r="AI7" s="2473"/>
      <c r="AJ7" s="2473"/>
      <c r="AK7" s="2473"/>
      <c r="AL7" s="2473"/>
      <c r="AM7" s="2473"/>
      <c r="AN7" s="2473"/>
      <c r="AO7" s="2473"/>
      <c r="AP7" s="2474"/>
      <c r="AQ7" s="1177" t="s">
        <v>406</v>
      </c>
      <c r="AS7" s="437"/>
      <c r="AT7" s="437" t="str">
        <f t="shared" si="0"/>
        <v>Группа потребителей</v>
      </c>
      <c r="AU7" s="437"/>
      <c r="AV7" s="437"/>
      <c r="AW7" s="1074">
        <v>0</v>
      </c>
    </row>
    <row r="8" spans="1:49" ht="21" hidden="1" customHeight="1">
      <c r="A8" s="1186"/>
      <c r="B8" s="1186"/>
      <c r="C8" s="1186"/>
      <c r="D8" s="1186"/>
      <c r="E8" s="2508"/>
      <c r="F8" s="2508"/>
      <c r="G8" s="2508"/>
      <c r="H8" s="2508"/>
      <c r="I8" s="2335"/>
      <c r="J8" s="2335"/>
      <c r="K8" s="2363" t="e">
        <f>J7&amp;".1"</f>
        <v>#N/A</v>
      </c>
      <c r="L8" s="78"/>
      <c r="M8" s="1229" t="s">
        <v>407</v>
      </c>
      <c r="N8" s="446"/>
      <c r="O8" s="264"/>
      <c r="P8" s="264"/>
      <c r="Q8" s="2482"/>
      <c r="R8" s="2482"/>
      <c r="S8" s="2482">
        <v>1</v>
      </c>
      <c r="T8" s="294"/>
      <c r="U8" s="1255" t="e">
        <f>$K8</f>
        <v>#N/A</v>
      </c>
      <c r="V8" s="1266"/>
      <c r="W8" s="237"/>
      <c r="X8" s="688"/>
      <c r="Y8" s="688"/>
      <c r="Z8" s="688"/>
      <c r="AA8" s="688"/>
      <c r="AB8" s="1324"/>
      <c r="AC8" s="2486"/>
      <c r="AD8" s="2344" t="s">
        <v>64</v>
      </c>
      <c r="AE8" s="2486"/>
      <c r="AF8" s="2344" t="s">
        <v>64</v>
      </c>
      <c r="AG8" s="1326"/>
      <c r="AH8" s="688"/>
      <c r="AI8" s="688"/>
      <c r="AJ8" s="688"/>
      <c r="AK8" s="1176"/>
      <c r="AL8" s="2486"/>
      <c r="AM8" s="2344" t="s">
        <v>64</v>
      </c>
      <c r="AN8" s="2486"/>
      <c r="AO8" s="2344" t="s">
        <v>64</v>
      </c>
      <c r="AP8" s="262"/>
      <c r="AQ8" s="1226" t="s">
        <v>450</v>
      </c>
      <c r="AR8" s="448" t="e">
        <f ca="1">STRCHECKDATE(X10:AP10)</f>
        <v>#NAME?</v>
      </c>
      <c r="AS8" s="437"/>
      <c r="AT8" s="437" t="str">
        <f t="shared" si="0"/>
        <v/>
      </c>
      <c r="AU8" s="437"/>
      <c r="AV8" s="437"/>
      <c r="AW8" s="1074">
        <v>0</v>
      </c>
    </row>
    <row r="9" spans="1:49" ht="21" hidden="1" customHeight="1">
      <c r="A9" s="1186"/>
      <c r="B9" s="1186"/>
      <c r="C9" s="1186"/>
      <c r="D9" s="1186"/>
      <c r="E9" s="2508"/>
      <c r="F9" s="2508"/>
      <c r="G9" s="2508"/>
      <c r="H9" s="2508"/>
      <c r="I9" s="2335"/>
      <c r="J9" s="2335"/>
      <c r="K9" s="2335"/>
      <c r="L9" s="2363" t="e">
        <f>K8&amp;".1"</f>
        <v>#N/A</v>
      </c>
      <c r="M9" s="1229"/>
      <c r="N9" s="446"/>
      <c r="O9" s="264"/>
      <c r="P9" s="264"/>
      <c r="Q9" s="2482"/>
      <c r="R9" s="2482"/>
      <c r="S9" s="2482"/>
      <c r="T9" s="294"/>
      <c r="U9" s="1255" t="e">
        <f>$L9</f>
        <v>#N/A</v>
      </c>
      <c r="V9" s="1310"/>
      <c r="W9" s="237"/>
      <c r="X9" s="262"/>
      <c r="Y9" s="688"/>
      <c r="Z9" s="688"/>
      <c r="AA9" s="688"/>
      <c r="AB9" s="1324"/>
      <c r="AC9" s="2487"/>
      <c r="AD9" s="2344"/>
      <c r="AE9" s="2487"/>
      <c r="AF9" s="2344"/>
      <c r="AG9" s="1326"/>
      <c r="AH9" s="688"/>
      <c r="AI9" s="688"/>
      <c r="AJ9" s="688"/>
      <c r="AK9" s="1176"/>
      <c r="AL9" s="2487"/>
      <c r="AM9" s="2344"/>
      <c r="AN9" s="2487"/>
      <c r="AO9" s="2344"/>
      <c r="AP9" s="262"/>
      <c r="AQ9" s="2478" t="s">
        <v>451</v>
      </c>
      <c r="AS9" s="437"/>
      <c r="AT9" s="437"/>
      <c r="AU9" s="437"/>
      <c r="AV9" s="437"/>
      <c r="AW9" s="1074">
        <v>0</v>
      </c>
    </row>
    <row r="10" spans="1:49" ht="14.25" hidden="1" customHeight="1">
      <c r="A10" s="1186"/>
      <c r="B10" s="1186"/>
      <c r="C10" s="1186"/>
      <c r="D10" s="1186"/>
      <c r="E10" s="2508"/>
      <c r="F10" s="2508"/>
      <c r="G10" s="2508"/>
      <c r="H10" s="2508"/>
      <c r="I10" s="2335"/>
      <c r="J10" s="2335"/>
      <c r="K10" s="2335"/>
      <c r="L10" s="2363"/>
      <c r="M10" s="1229"/>
      <c r="N10" s="446"/>
      <c r="O10" s="264"/>
      <c r="P10" s="264"/>
      <c r="Q10" s="2482"/>
      <c r="R10" s="2482"/>
      <c r="S10" s="2482"/>
      <c r="T10" s="294"/>
      <c r="U10" s="1261"/>
      <c r="V10" s="237"/>
      <c r="W10" s="237"/>
      <c r="X10" s="262"/>
      <c r="Y10" s="262"/>
      <c r="Z10" s="262"/>
      <c r="AA10" s="262"/>
      <c r="AB10" s="1325" t="str">
        <f>AC8&amp;"-"&amp;AE8</f>
        <v>-</v>
      </c>
      <c r="AC10" s="2487"/>
      <c r="AD10" s="2344"/>
      <c r="AE10" s="2487"/>
      <c r="AF10" s="2344"/>
      <c r="AG10" s="1301"/>
      <c r="AH10" s="262"/>
      <c r="AI10" s="262"/>
      <c r="AJ10" s="262"/>
      <c r="AK10" s="265" t="str">
        <f>AL8&amp;"-"&amp;AN8</f>
        <v>-</v>
      </c>
      <c r="AL10" s="2487"/>
      <c r="AM10" s="2344"/>
      <c r="AN10" s="2487"/>
      <c r="AO10" s="2344"/>
      <c r="AP10" s="262"/>
      <c r="AQ10" s="2479"/>
      <c r="AS10" s="437"/>
      <c r="AT10" s="437" t="str">
        <f>IF(V10="","",V10)</f>
        <v/>
      </c>
      <c r="AU10" s="437"/>
      <c r="AV10" s="437"/>
      <c r="AW10" s="1074">
        <v>0</v>
      </c>
    </row>
    <row r="11" spans="1:49" ht="11.25" hidden="1" customHeight="1">
      <c r="A11" s="1186"/>
      <c r="B11" s="1186"/>
      <c r="C11" s="1186"/>
      <c r="D11" s="1186"/>
      <c r="E11" s="2508"/>
      <c r="F11" s="2508"/>
      <c r="G11" s="2508"/>
      <c r="H11" s="2508"/>
      <c r="I11" s="2335"/>
      <c r="J11" s="2335"/>
      <c r="K11" s="2363"/>
      <c r="L11" s="1186"/>
      <c r="M11" s="1229"/>
      <c r="N11" s="446"/>
      <c r="O11" s="264"/>
      <c r="P11" s="264"/>
      <c r="Q11" s="2482"/>
      <c r="R11" s="2482"/>
      <c r="S11" s="2482"/>
      <c r="T11" s="294"/>
      <c r="U11" s="1197"/>
      <c r="V11" s="225" t="s">
        <v>452</v>
      </c>
      <c r="W11" s="1311"/>
      <c r="X11" s="1312"/>
      <c r="Y11" s="1312"/>
      <c r="Z11" s="1312"/>
      <c r="AA11" s="1312"/>
      <c r="AB11" s="1313"/>
      <c r="AC11" s="2487"/>
      <c r="AD11" s="2344"/>
      <c r="AE11" s="2487"/>
      <c r="AF11" s="2344"/>
      <c r="AG11" s="1312"/>
      <c r="AH11" s="1312"/>
      <c r="AI11" s="1312"/>
      <c r="AJ11" s="1312"/>
      <c r="AK11" s="1313"/>
      <c r="AL11" s="2487"/>
      <c r="AM11" s="2344"/>
      <c r="AN11" s="2487"/>
      <c r="AO11" s="2344"/>
      <c r="AP11" s="1314"/>
      <c r="AQ11" s="2479"/>
      <c r="AS11" s="437"/>
      <c r="AT11" s="437"/>
      <c r="AU11" s="437"/>
      <c r="AV11" s="437"/>
      <c r="AW11" s="1074">
        <v>0</v>
      </c>
    </row>
    <row r="12" spans="1:49" ht="15" hidden="1" customHeight="1">
      <c r="A12" s="1186"/>
      <c r="B12" s="1186"/>
      <c r="C12" s="1186"/>
      <c r="D12" s="1186"/>
      <c r="E12" s="2508"/>
      <c r="F12" s="2508"/>
      <c r="G12" s="2508"/>
      <c r="H12" s="2508"/>
      <c r="I12" s="2335"/>
      <c r="J12" s="2363"/>
      <c r="K12" s="1186"/>
      <c r="L12" s="1186"/>
      <c r="M12" s="1229"/>
      <c r="N12" s="446"/>
      <c r="O12" s="264"/>
      <c r="Q12" s="2482"/>
      <c r="R12" s="2482"/>
      <c r="S12" s="1250"/>
      <c r="T12" s="293"/>
      <c r="U12" s="1197"/>
      <c r="V12" s="224" t="s">
        <v>409</v>
      </c>
      <c r="W12" s="304"/>
      <c r="X12" s="304"/>
      <c r="Y12" s="304"/>
      <c r="Z12" s="304"/>
      <c r="AA12" s="304"/>
      <c r="AB12" s="304"/>
      <c r="AC12" s="1327"/>
      <c r="AD12" s="1327"/>
      <c r="AE12" s="1327"/>
      <c r="AF12" s="1327"/>
      <c r="AG12" s="304"/>
      <c r="AH12" s="304"/>
      <c r="AI12" s="304"/>
      <c r="AJ12" s="304"/>
      <c r="AK12" s="304"/>
      <c r="AL12" s="304"/>
      <c r="AM12" s="304"/>
      <c r="AN12" s="304"/>
      <c r="AO12" s="304"/>
      <c r="AP12" s="261"/>
      <c r="AQ12" s="2480"/>
      <c r="AS12" s="437"/>
      <c r="AT12" s="437" t="str">
        <f t="shared" ref="AT12:AT17" si="1">IF(V12="","",V12)</f>
        <v>Добавить вид теплоносителя (параметры теплоносителя)</v>
      </c>
      <c r="AU12" s="437"/>
      <c r="AV12" s="437"/>
      <c r="AW12" s="1074">
        <v>0</v>
      </c>
    </row>
    <row r="13" spans="1:49" ht="11.25" hidden="1" customHeight="1">
      <c r="A13" s="1186"/>
      <c r="B13" s="1186"/>
      <c r="C13" s="1186"/>
      <c r="D13" s="1186"/>
      <c r="E13" s="2508"/>
      <c r="F13" s="2508"/>
      <c r="G13" s="2508"/>
      <c r="H13" s="2508"/>
      <c r="I13" s="2363"/>
      <c r="J13" s="1186"/>
      <c r="K13" s="1186"/>
      <c r="L13" s="1186"/>
      <c r="M13" s="1229"/>
      <c r="N13" s="446"/>
      <c r="Q13" s="2482"/>
      <c r="R13" s="1250"/>
      <c r="S13" s="1250"/>
      <c r="T13" s="293"/>
      <c r="U13" s="1197"/>
      <c r="V13" s="302" t="s">
        <v>410</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74">
        <v>0</v>
      </c>
    </row>
    <row r="14" spans="1:49" ht="14.25" hidden="1" customHeight="1">
      <c r="A14" s="1186"/>
      <c r="B14" s="1186"/>
      <c r="C14" s="1186"/>
      <c r="D14" s="1186"/>
      <c r="E14" s="2508"/>
      <c r="F14" s="2508"/>
      <c r="G14" s="2508"/>
      <c r="H14" s="2507"/>
      <c r="I14" s="1186"/>
      <c r="J14" s="1186"/>
      <c r="K14" s="1186"/>
      <c r="L14" s="1186"/>
      <c r="M14" s="1229"/>
      <c r="N14" s="625"/>
      <c r="O14" s="625"/>
      <c r="P14" s="446"/>
      <c r="Q14" s="297"/>
      <c r="R14" s="312"/>
      <c r="S14" s="292"/>
      <c r="T14" s="297"/>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8"/>
      <c r="AS14" s="437"/>
      <c r="AT14" s="437" t="str">
        <f t="shared" si="1"/>
        <v/>
      </c>
      <c r="AU14" s="437"/>
      <c r="AV14" s="437"/>
      <c r="AW14" s="1074">
        <v>0</v>
      </c>
    </row>
    <row r="15" spans="1:49" s="2245" customFormat="1" ht="14.25" hidden="1" customHeight="1">
      <c r="A15" s="1293"/>
      <c r="B15" s="1293"/>
      <c r="C15" s="1293"/>
      <c r="D15" s="1293"/>
      <c r="E15" s="2508"/>
      <c r="F15" s="2508"/>
      <c r="G15" s="2507"/>
      <c r="H15" s="1293"/>
      <c r="I15" s="1293"/>
      <c r="J15" s="1293"/>
      <c r="K15" s="1293"/>
      <c r="L15" s="1293"/>
      <c r="M15" s="1296"/>
      <c r="N15" s="1297"/>
      <c r="O15" s="1297"/>
      <c r="P15" s="288"/>
      <c r="Q15" s="1235"/>
      <c r="R15" s="1236"/>
      <c r="S15" s="1235"/>
      <c r="T15" s="1235"/>
      <c r="U15" s="1237"/>
      <c r="V15" s="1238" t="s">
        <v>412</v>
      </c>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S15" s="720"/>
      <c r="AT15" s="720" t="str">
        <f t="shared" si="1"/>
        <v>Добавить источник для дифференциации</v>
      </c>
      <c r="AU15" s="720"/>
      <c r="AV15" s="720"/>
      <c r="AW15" s="455">
        <v>0</v>
      </c>
    </row>
    <row r="16" spans="1:49" s="2245" customFormat="1" ht="14.25" hidden="1" customHeight="1">
      <c r="A16" s="1293"/>
      <c r="B16" s="1293"/>
      <c r="C16" s="1293"/>
      <c r="D16" s="1293"/>
      <c r="E16" s="2508"/>
      <c r="F16" s="2507"/>
      <c r="G16" s="1293"/>
      <c r="H16" s="1293"/>
      <c r="I16" s="1293"/>
      <c r="J16" s="1293"/>
      <c r="K16" s="1293"/>
      <c r="L16" s="1293"/>
      <c r="M16" s="1296"/>
      <c r="N16" s="1298"/>
      <c r="O16" s="1298"/>
      <c r="P16" s="288"/>
      <c r="Q16" s="1235"/>
      <c r="R16" s="1236"/>
      <c r="S16" s="1235"/>
      <c r="T16" s="1235"/>
      <c r="U16" s="1241"/>
      <c r="V16" s="1242" t="s">
        <v>413</v>
      </c>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S16" s="720"/>
      <c r="AT16" s="720" t="str">
        <f t="shared" si="1"/>
        <v>Добавить централизованную систему для дифференциации</v>
      </c>
      <c r="AU16" s="720"/>
      <c r="AV16" s="720"/>
      <c r="AW16" s="455">
        <v>0</v>
      </c>
    </row>
    <row r="17" spans="1:49" s="2245" customFormat="1" ht="14.25" hidden="1" customHeight="1">
      <c r="A17" s="1293"/>
      <c r="B17" s="1293"/>
      <c r="C17" s="1293"/>
      <c r="D17" s="1293"/>
      <c r="E17" s="2507"/>
      <c r="F17" s="1293"/>
      <c r="G17" s="1293"/>
      <c r="H17" s="1293"/>
      <c r="I17" s="1293"/>
      <c r="J17" s="1293"/>
      <c r="K17" s="1293"/>
      <c r="L17" s="1293"/>
      <c r="M17" s="1296"/>
      <c r="N17" s="1298"/>
      <c r="O17" s="1298"/>
      <c r="P17" s="288"/>
      <c r="Q17" s="1235"/>
      <c r="R17" s="1236"/>
      <c r="S17" s="1235"/>
      <c r="T17" s="1235"/>
      <c r="U17" s="1241"/>
      <c r="V17" s="1244" t="s">
        <v>414</v>
      </c>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S17" s="720"/>
      <c r="AT17" s="720" t="str">
        <f t="shared" si="1"/>
        <v>Добавить территорию для дифференциации</v>
      </c>
      <c r="AU17" s="720"/>
      <c r="AV17" s="720"/>
      <c r="AW17" s="455">
        <v>0</v>
      </c>
    </row>
    <row r="18" spans="1:49" ht="14.25" hidden="1" customHeight="1">
      <c r="AF18" s="264"/>
      <c r="AO18" s="264"/>
      <c r="AW18" s="1074">
        <v>0</v>
      </c>
    </row>
    <row r="19" spans="1:49" ht="14.25" hidden="1" customHeight="1">
      <c r="AG19" s="1279"/>
      <c r="AH19" s="1279"/>
      <c r="AI19" s="1279"/>
      <c r="AJ19" s="1279"/>
      <c r="AK19" s="1280"/>
      <c r="AL19" s="2488"/>
      <c r="AM19" s="2489" t="s">
        <v>64</v>
      </c>
      <c r="AN19" s="2488"/>
      <c r="AO19" s="2489" t="s">
        <v>64</v>
      </c>
      <c r="AW19" s="1074">
        <v>0</v>
      </c>
    </row>
    <row r="20" spans="1:49" ht="14.25" hidden="1" customHeight="1">
      <c r="AG20" s="1279"/>
      <c r="AH20" s="1279"/>
      <c r="AI20" s="1279"/>
      <c r="AJ20" s="1279"/>
      <c r="AK20" s="1280"/>
      <c r="AL20" s="2488"/>
      <c r="AM20" s="2489"/>
      <c r="AN20" s="2488"/>
      <c r="AO20" s="2489"/>
      <c r="AW20" s="1074">
        <v>0</v>
      </c>
    </row>
    <row r="21" spans="1:49" ht="14.25" hidden="1" customHeight="1">
      <c r="AG21" s="1279"/>
      <c r="AH21" s="1279"/>
      <c r="AI21" s="1279"/>
      <c r="AJ21" s="1279"/>
      <c r="AK21" s="1280"/>
      <c r="AL21" s="2488"/>
      <c r="AM21" s="2489"/>
      <c r="AN21" s="2488"/>
      <c r="AO21" s="2489"/>
      <c r="AW21" s="1074">
        <v>0</v>
      </c>
    </row>
    <row r="22" spans="1:49" ht="14.25" hidden="1" customHeight="1">
      <c r="AG22" s="1279"/>
      <c r="AH22" s="1279"/>
      <c r="AI22" s="1279"/>
      <c r="AJ22" s="1279"/>
      <c r="AK22" s="265" t="str">
        <f>AL19&amp;"-"&amp;AN19</f>
        <v>-</v>
      </c>
      <c r="AL22" s="2489"/>
      <c r="AM22" s="2489"/>
      <c r="AN22" s="2489"/>
      <c r="AO22" s="2489"/>
      <c r="AW22" s="1074">
        <v>0</v>
      </c>
    </row>
    <row r="23" spans="1:49" ht="14.25" hidden="1" customHeight="1">
      <c r="AO23" s="264"/>
      <c r="AW23" s="1074">
        <v>0</v>
      </c>
    </row>
    <row r="24" spans="1:49" s="2244" customFormat="1" ht="22.5" hidden="1" customHeight="1">
      <c r="A24" s="1074"/>
      <c r="B24" s="1074"/>
      <c r="C24" s="1074"/>
      <c r="D24" s="1074"/>
      <c r="E24" s="1074"/>
      <c r="F24" s="1074"/>
      <c r="G24" s="1074"/>
      <c r="H24" s="1074"/>
      <c r="I24" s="1074"/>
      <c r="J24" s="1074"/>
      <c r="K24" s="1074"/>
      <c r="L24" s="1074"/>
      <c r="M24" s="1246"/>
      <c r="N24" s="1247"/>
      <c r="O24" s="1247"/>
      <c r="P24" s="1264" t="s">
        <v>415</v>
      </c>
      <c r="Q24" s="1281"/>
      <c r="R24" s="1290"/>
      <c r="S24" s="1290"/>
      <c r="T24" s="1290"/>
      <c r="U24" s="666"/>
      <c r="AC24" s="1286"/>
      <c r="AE24" s="1286"/>
      <c r="AF24" s="1285"/>
      <c r="AL24" s="1286"/>
      <c r="AN24" s="1286"/>
      <c r="AO24" s="1285"/>
      <c r="AR24" s="448"/>
      <c r="AS24" s="448"/>
      <c r="AT24" s="448"/>
      <c r="AU24" s="448"/>
      <c r="AV24" s="448"/>
      <c r="AW24" s="1079">
        <v>0</v>
      </c>
    </row>
    <row r="25" spans="1:49" s="2244" customFormat="1" ht="14.25" hidden="1" customHeight="1">
      <c r="A25" s="1074"/>
      <c r="B25" s="1074"/>
      <c r="C25" s="1074"/>
      <c r="D25" s="1074"/>
      <c r="E25" s="1074"/>
      <c r="F25" s="1074"/>
      <c r="G25" s="1074"/>
      <c r="H25" s="1074"/>
      <c r="I25" s="1074"/>
      <c r="J25" s="1074"/>
      <c r="K25" s="1074"/>
      <c r="L25" s="1074"/>
      <c r="M25" s="1246"/>
      <c r="N25" s="1247"/>
      <c r="O25" s="1247"/>
      <c r="P25" s="1247"/>
      <c r="Q25" s="1281"/>
      <c r="R25" s="1290"/>
      <c r="S25" s="1290"/>
      <c r="T25" s="1290"/>
      <c r="U25" s="666"/>
      <c r="AF25" s="1285"/>
      <c r="AO25" s="1285"/>
      <c r="AR25" s="448"/>
      <c r="AS25" s="448"/>
      <c r="AT25" s="448"/>
      <c r="AU25" s="448"/>
      <c r="AV25" s="448"/>
      <c r="AW25" s="1079">
        <v>0</v>
      </c>
    </row>
    <row r="26" spans="1:49" s="2244" customFormat="1" ht="14.25" hidden="1" customHeight="1">
      <c r="A26" s="1074"/>
      <c r="B26" s="1074"/>
      <c r="C26" s="1074"/>
      <c r="D26" s="1074"/>
      <c r="E26" s="1074"/>
      <c r="F26" s="1074"/>
      <c r="G26" s="1074"/>
      <c r="H26" s="1074"/>
      <c r="I26" s="1074"/>
      <c r="J26" s="1074"/>
      <c r="K26" s="1074"/>
      <c r="L26" s="1074"/>
      <c r="M26" s="1246"/>
      <c r="N26" s="1247"/>
      <c r="O26" s="1247"/>
      <c r="P26" s="1229" t="s">
        <v>416</v>
      </c>
      <c r="Q26" s="1281"/>
      <c r="R26" s="1290"/>
      <c r="S26" s="1290"/>
      <c r="T26" s="1290"/>
      <c r="U26" s="666"/>
      <c r="V26" s="1079" t="s">
        <v>417</v>
      </c>
      <c r="AD26" s="123" t="s">
        <v>418</v>
      </c>
      <c r="AF26" s="123" t="s">
        <v>419</v>
      </c>
      <c r="AG26" s="1079" t="s">
        <v>417</v>
      </c>
      <c r="AM26" s="123" t="s">
        <v>420</v>
      </c>
      <c r="AO26" s="123" t="s">
        <v>419</v>
      </c>
      <c r="AR26" s="448"/>
      <c r="AS26" s="448"/>
      <c r="AT26" s="448"/>
      <c r="AU26" s="448"/>
      <c r="AV26" s="448"/>
      <c r="AW26" s="1079">
        <v>0</v>
      </c>
    </row>
    <row r="27" spans="1:49" ht="14.25" hidden="1" customHeight="1">
      <c r="P27" s="1229"/>
      <c r="AW27" s="1074">
        <v>0</v>
      </c>
    </row>
    <row r="28" spans="1:49" ht="14.25" hidden="1" customHeight="1">
      <c r="P28" s="1229"/>
      <c r="AW28" s="1074">
        <v>0</v>
      </c>
    </row>
    <row r="29" spans="1:49" ht="14.65" customHeight="1">
      <c r="R29" s="313"/>
      <c r="S29" s="313"/>
      <c r="T29" s="313"/>
      <c r="U29" s="1194"/>
      <c r="V29" s="300"/>
      <c r="W29" s="300"/>
      <c r="X29" s="446"/>
      <c r="Y29" s="446"/>
      <c r="Z29" s="446"/>
      <c r="AA29" s="446"/>
      <c r="AB29" s="446"/>
      <c r="AC29" s="446"/>
      <c r="AD29" s="446"/>
      <c r="AE29" s="446"/>
      <c r="AF29" s="446"/>
      <c r="AG29" s="446"/>
      <c r="AH29" s="446"/>
      <c r="AI29" s="446"/>
      <c r="AJ29" s="446"/>
      <c r="AK29" s="446"/>
      <c r="AL29" s="446"/>
      <c r="AM29" s="446"/>
      <c r="AN29" s="446"/>
      <c r="AO29" s="446"/>
      <c r="AW29" s="1074">
        <v>14</v>
      </c>
    </row>
    <row r="30" spans="1:49" ht="56.65" customHeight="1">
      <c r="R30" s="313"/>
      <c r="S30" s="313"/>
      <c r="T30" s="313"/>
      <c r="U30" s="2467"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467"/>
      <c r="W30" s="2467"/>
      <c r="X30" s="2467"/>
      <c r="Y30" s="2467"/>
      <c r="Z30" s="2467"/>
      <c r="AA30" s="2467"/>
      <c r="AB30" s="2467"/>
      <c r="AC30" s="2467"/>
      <c r="AD30" s="2467"/>
      <c r="AE30" s="2467"/>
      <c r="AF30" s="2467"/>
      <c r="AG30" s="2467"/>
      <c r="AH30" s="2467"/>
      <c r="AI30" s="2467"/>
      <c r="AJ30" s="2467"/>
      <c r="AK30" s="2467"/>
      <c r="AL30" s="2467"/>
      <c r="AM30" s="2467"/>
      <c r="AN30" s="2467"/>
      <c r="AO30" s="1162"/>
      <c r="AW30" s="1074">
        <v>54</v>
      </c>
    </row>
    <row r="31" spans="1:49" ht="14.65" customHeight="1">
      <c r="R31" s="313"/>
      <c r="S31" s="313"/>
      <c r="T31" s="313"/>
      <c r="U31" s="2412" t="str">
        <f>IF(org=0,"Не определено",org)</f>
        <v>МУП "Водоканал"</v>
      </c>
      <c r="V31" s="2412"/>
      <c r="W31" s="2412"/>
      <c r="X31" s="2412"/>
      <c r="Y31" s="2412"/>
      <c r="Z31" s="2412"/>
      <c r="AA31" s="2412"/>
      <c r="AB31" s="2412"/>
      <c r="AC31" s="2412"/>
      <c r="AD31" s="2412"/>
      <c r="AE31" s="2412"/>
      <c r="AF31" s="2412"/>
      <c r="AG31" s="2412"/>
      <c r="AH31" s="2412"/>
      <c r="AI31" s="2412"/>
      <c r="AJ31" s="2412"/>
      <c r="AK31" s="2412"/>
      <c r="AL31" s="2412"/>
      <c r="AM31" s="2412"/>
      <c r="AN31" s="2412"/>
      <c r="AO31" s="1162"/>
      <c r="AW31" s="1074">
        <v>14</v>
      </c>
    </row>
    <row r="32" spans="1:49" ht="14.25" hidden="1" customHeight="1">
      <c r="R32" s="313"/>
      <c r="S32" s="313"/>
      <c r="T32" s="313"/>
      <c r="U32" s="1194"/>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74">
        <v>0</v>
      </c>
    </row>
    <row r="33" spans="1:49" s="2254" customFormat="1" ht="25.5" hidden="1" customHeight="1">
      <c r="A33" s="1167"/>
      <c r="B33" s="1167"/>
      <c r="C33" s="1167"/>
      <c r="D33" s="1167"/>
      <c r="E33" s="1167"/>
      <c r="F33" s="1167"/>
      <c r="G33" s="1167"/>
      <c r="H33" s="1167"/>
      <c r="I33" s="1167"/>
      <c r="J33" s="1167"/>
      <c r="K33" s="1167"/>
      <c r="L33" s="1167"/>
      <c r="M33" s="1299"/>
      <c r="N33" s="1167"/>
      <c r="O33" s="1167"/>
      <c r="P33" s="1167"/>
      <c r="U33" s="2475" t="s">
        <v>41</v>
      </c>
      <c r="V33" s="2475"/>
      <c r="W33" s="1291"/>
      <c r="X33" s="2476" t="str">
        <f>IF(TITLE_NAME_OR_PR_CHANGE="",IF(TITLE_NAME_OR_PR="","",TITLE_NAME_OR_PR),TITLE_NAME_OR_PR_CHANGE)</f>
        <v/>
      </c>
      <c r="Y33" s="2476"/>
      <c r="Z33" s="2476"/>
      <c r="AA33" s="2476"/>
      <c r="AB33" s="2476"/>
      <c r="AC33" s="2476"/>
      <c r="AD33" s="2476"/>
      <c r="AE33" s="2476"/>
      <c r="AF33" s="263"/>
      <c r="AG33" s="2476" t="str">
        <f>IF(TITLE_NAME_OR_PR_CHANGE="",IF(TITLE_NAME_OR_PR="","",TITLE_NAME_OR_PR),TITLE_NAME_OR_PR_CHANGE)</f>
        <v/>
      </c>
      <c r="AH33" s="2476"/>
      <c r="AI33" s="2476"/>
      <c r="AJ33" s="2476"/>
      <c r="AK33" s="2476"/>
      <c r="AL33" s="2476"/>
      <c r="AM33" s="2476"/>
      <c r="AN33" s="2476"/>
      <c r="AO33" s="263"/>
      <c r="AP33" s="263"/>
      <c r="AQ33" s="217"/>
      <c r="AR33" s="305"/>
      <c r="AS33" s="305"/>
      <c r="AT33" s="305"/>
      <c r="AU33" s="305"/>
      <c r="AV33" s="305"/>
      <c r="AW33" s="355">
        <v>0</v>
      </c>
    </row>
    <row r="34" spans="1:49" s="2254" customFormat="1" ht="18.75" hidden="1" customHeight="1">
      <c r="A34" s="1167"/>
      <c r="B34" s="1167"/>
      <c r="C34" s="1167"/>
      <c r="D34" s="1167"/>
      <c r="E34" s="1167"/>
      <c r="F34" s="1167"/>
      <c r="G34" s="1167"/>
      <c r="H34" s="1167"/>
      <c r="I34" s="1167"/>
      <c r="J34" s="1167"/>
      <c r="K34" s="1167"/>
      <c r="L34" s="1167"/>
      <c r="M34" s="1299"/>
      <c r="N34" s="1167"/>
      <c r="O34" s="1167"/>
      <c r="P34" s="1167"/>
      <c r="U34" s="2475" t="s">
        <v>421</v>
      </c>
      <c r="V34" s="2475"/>
      <c r="W34" s="1291"/>
      <c r="X34" s="2485" t="str">
        <f>IF(TITLE_DATE_PR_CHANGE="",IF(TITLE_DATE_PR="","",TITLE_DATE_PR),TITLE_DATE_PR_CHANGE)</f>
        <v/>
      </c>
      <c r="Y34" s="2485"/>
      <c r="Z34" s="2485"/>
      <c r="AA34" s="2485"/>
      <c r="AB34" s="2485"/>
      <c r="AC34" s="2485"/>
      <c r="AD34" s="2485"/>
      <c r="AE34" s="2485"/>
      <c r="AF34" s="263"/>
      <c r="AG34" s="2485" t="str">
        <f>IF(TITLE_DATE_PR_CHANGE="",IF(TITLE_DATE_PR="","",TITLE_DATE_PR),TITLE_DATE_PR_CHANGE)</f>
        <v/>
      </c>
      <c r="AH34" s="2485"/>
      <c r="AI34" s="2485"/>
      <c r="AJ34" s="2485"/>
      <c r="AK34" s="2485"/>
      <c r="AL34" s="2485"/>
      <c r="AM34" s="2485"/>
      <c r="AN34" s="2485"/>
      <c r="AO34" s="263"/>
      <c r="AP34" s="263"/>
      <c r="AQ34" s="217"/>
      <c r="AR34" s="305"/>
      <c r="AS34" s="305"/>
      <c r="AT34" s="305"/>
      <c r="AU34" s="305"/>
      <c r="AV34" s="305"/>
      <c r="AW34" s="355">
        <v>0</v>
      </c>
    </row>
    <row r="35" spans="1:49" s="2254" customFormat="1" ht="18.75" hidden="1" customHeight="1">
      <c r="A35" s="1167"/>
      <c r="B35" s="1167"/>
      <c r="C35" s="1167"/>
      <c r="D35" s="1167"/>
      <c r="E35" s="1167"/>
      <c r="F35" s="1167"/>
      <c r="G35" s="1167"/>
      <c r="H35" s="1167"/>
      <c r="I35" s="1167"/>
      <c r="J35" s="1167"/>
      <c r="K35" s="1167"/>
      <c r="L35" s="1167"/>
      <c r="M35" s="1299"/>
      <c r="N35" s="1167"/>
      <c r="O35" s="1167"/>
      <c r="P35" s="1167"/>
      <c r="U35" s="2475" t="s">
        <v>422</v>
      </c>
      <c r="V35" s="2475"/>
      <c r="W35" s="1291"/>
      <c r="X35" s="2476" t="str">
        <f>IF(TITLE_NUMBER_PR_CHANGE="",IF(TITLE_NUMBER_PR="","",TITLE_NUMBER_PR),TITLE_NUMBER_PR_CHANGE)</f>
        <v/>
      </c>
      <c r="Y35" s="2476"/>
      <c r="Z35" s="2476"/>
      <c r="AA35" s="2476"/>
      <c r="AB35" s="2476"/>
      <c r="AC35" s="2476"/>
      <c r="AD35" s="2476"/>
      <c r="AE35" s="2476"/>
      <c r="AF35" s="263"/>
      <c r="AG35" s="2476" t="str">
        <f>IF(TITLE_NUMBER_PR_CHANGE="",IF(TITLE_NUMBER_PR="","",TITLE_NUMBER_PR),TITLE_NUMBER_PR_CHANGE)</f>
        <v/>
      </c>
      <c r="AH35" s="2476"/>
      <c r="AI35" s="2476"/>
      <c r="AJ35" s="2476"/>
      <c r="AK35" s="2476"/>
      <c r="AL35" s="2476"/>
      <c r="AM35" s="2476"/>
      <c r="AN35" s="2476"/>
      <c r="AO35" s="263"/>
      <c r="AP35" s="263"/>
      <c r="AQ35" s="217"/>
      <c r="AR35" s="305"/>
      <c r="AS35" s="305"/>
      <c r="AT35" s="305"/>
      <c r="AU35" s="305"/>
      <c r="AV35" s="305"/>
      <c r="AW35" s="355">
        <v>0</v>
      </c>
    </row>
    <row r="36" spans="1:49" s="2254" customFormat="1" ht="18.75" hidden="1" customHeight="1">
      <c r="A36" s="1167"/>
      <c r="B36" s="1167"/>
      <c r="C36" s="1167"/>
      <c r="D36" s="1167"/>
      <c r="E36" s="1167"/>
      <c r="F36" s="1167"/>
      <c r="G36" s="1167"/>
      <c r="H36" s="1167"/>
      <c r="I36" s="1167"/>
      <c r="J36" s="1167"/>
      <c r="K36" s="1167"/>
      <c r="L36" s="1167"/>
      <c r="M36" s="1299"/>
      <c r="N36" s="1167"/>
      <c r="O36" s="1167"/>
      <c r="P36" s="1167"/>
      <c r="U36" s="2475" t="s">
        <v>42</v>
      </c>
      <c r="V36" s="2475"/>
      <c r="W36" s="1291"/>
      <c r="X36" s="2476" t="str">
        <f>IF(TITLE_IST_PUB_CHANGE="",IF(TITLE_IST_PUB="","",TITLE_IST_PUB),TITLE_IST_PUB_CHANGE)</f>
        <v/>
      </c>
      <c r="Y36" s="2476"/>
      <c r="Z36" s="2476"/>
      <c r="AA36" s="2476"/>
      <c r="AB36" s="2476"/>
      <c r="AC36" s="2476"/>
      <c r="AD36" s="2476"/>
      <c r="AE36" s="2476"/>
      <c r="AF36" s="263"/>
      <c r="AG36" s="2476" t="str">
        <f>IF(TITLE_IST_PUB_CHANGE="",IF(TITLE_IST_PUB="","",TITLE_IST_PUB),TITLE_IST_PUB_CHANGE)</f>
        <v/>
      </c>
      <c r="AH36" s="2476"/>
      <c r="AI36" s="2476"/>
      <c r="AJ36" s="2476"/>
      <c r="AK36" s="2476"/>
      <c r="AL36" s="2476"/>
      <c r="AM36" s="2476"/>
      <c r="AN36" s="2476"/>
      <c r="AO36" s="263"/>
      <c r="AP36" s="263"/>
      <c r="AQ36" s="217"/>
      <c r="AR36" s="305"/>
      <c r="AS36" s="305"/>
      <c r="AT36" s="305"/>
      <c r="AU36" s="305"/>
      <c r="AV36" s="305"/>
      <c r="AW36" s="355">
        <v>0</v>
      </c>
    </row>
    <row r="37" spans="1:49" ht="14.25" hidden="1" customHeight="1">
      <c r="R37" s="313"/>
      <c r="S37" s="313"/>
      <c r="T37" s="313"/>
      <c r="U37" s="1194"/>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74">
        <v>0</v>
      </c>
    </row>
    <row r="38" spans="1:49" s="2254" customFormat="1" ht="18.75" hidden="1" customHeight="1">
      <c r="A38" s="1167"/>
      <c r="B38" s="1167"/>
      <c r="C38" s="1167"/>
      <c r="D38" s="1167"/>
      <c r="E38" s="1167"/>
      <c r="F38" s="1167"/>
      <c r="G38" s="1167"/>
      <c r="H38" s="1167"/>
      <c r="I38" s="1167"/>
      <c r="J38" s="1167"/>
      <c r="K38" s="1167"/>
      <c r="L38" s="1167"/>
      <c r="M38" s="1299"/>
      <c r="N38" s="1167"/>
      <c r="O38" s="1167"/>
      <c r="P38" s="1167"/>
      <c r="U38" s="2475" t="s">
        <v>423</v>
      </c>
      <c r="V38" s="2475"/>
      <c r="W38" s="1291"/>
      <c r="X38" s="2485" t="str">
        <f>IF(TITLE_DATE_PR_CHANGE="",IF(TITLE_DATE_PR="","",TITLE_DATE_PR),TITLE_DATE_PR_CHANGE)</f>
        <v/>
      </c>
      <c r="Y38" s="2485"/>
      <c r="Z38" s="2485"/>
      <c r="AA38" s="2485"/>
      <c r="AB38" s="2485"/>
      <c r="AC38" s="2485"/>
      <c r="AD38" s="2485"/>
      <c r="AE38" s="2485"/>
      <c r="AF38" s="263"/>
      <c r="AG38" s="2485" t="str">
        <f>IF(TITLE_DATE_PR_CHANGE="",IF(TITLE_DATE_PR="","",TITLE_DATE_PR),TITLE_DATE_PR_CHANGE)</f>
        <v/>
      </c>
      <c r="AH38" s="2485"/>
      <c r="AI38" s="2485"/>
      <c r="AJ38" s="2485"/>
      <c r="AK38" s="2485"/>
      <c r="AL38" s="2485"/>
      <c r="AM38" s="2485"/>
      <c r="AN38" s="2485"/>
      <c r="AO38" s="263"/>
      <c r="AP38" s="263"/>
      <c r="AQ38" s="217"/>
      <c r="AR38" s="305"/>
      <c r="AS38" s="305"/>
      <c r="AT38" s="305"/>
      <c r="AU38" s="305"/>
      <c r="AV38" s="305"/>
      <c r="AW38" s="355">
        <v>0</v>
      </c>
    </row>
    <row r="39" spans="1:49" s="2254" customFormat="1" ht="18.75" hidden="1" customHeight="1">
      <c r="A39" s="1167"/>
      <c r="B39" s="1167"/>
      <c r="C39" s="1167"/>
      <c r="D39" s="1167"/>
      <c r="E39" s="1167"/>
      <c r="F39" s="1167"/>
      <c r="G39" s="1167"/>
      <c r="H39" s="1167"/>
      <c r="I39" s="1167"/>
      <c r="J39" s="1167"/>
      <c r="K39" s="1167"/>
      <c r="L39" s="1167"/>
      <c r="M39" s="1299"/>
      <c r="N39" s="1167"/>
      <c r="O39" s="1167"/>
      <c r="P39" s="1167"/>
      <c r="U39" s="2475" t="s">
        <v>424</v>
      </c>
      <c r="V39" s="2475"/>
      <c r="W39" s="1291"/>
      <c r="X39" s="2476" t="str">
        <f>IF(TITLE_NUMBER_PR_CHANGE="",IF(TITLE_NUMBER_PR="","",TITLE_NUMBER_PR),TITLE_NUMBER_PR_CHANGE)</f>
        <v/>
      </c>
      <c r="Y39" s="2476"/>
      <c r="Z39" s="2476"/>
      <c r="AA39" s="2476"/>
      <c r="AB39" s="2476"/>
      <c r="AC39" s="2476"/>
      <c r="AD39" s="2476"/>
      <c r="AE39" s="2476"/>
      <c r="AF39" s="263"/>
      <c r="AG39" s="2476" t="str">
        <f>IF(TITLE_NUMBER_PR_CHANGE="",IF(TITLE_NUMBER_PR="","",TITLE_NUMBER_PR),TITLE_NUMBER_PR_CHANGE)</f>
        <v/>
      </c>
      <c r="AH39" s="2476"/>
      <c r="AI39" s="2476"/>
      <c r="AJ39" s="2476"/>
      <c r="AK39" s="2476"/>
      <c r="AL39" s="2476"/>
      <c r="AM39" s="2476"/>
      <c r="AN39" s="2476"/>
      <c r="AO39" s="263"/>
      <c r="AP39" s="263"/>
      <c r="AQ39" s="217"/>
      <c r="AR39" s="305"/>
      <c r="AS39" s="305"/>
      <c r="AT39" s="305"/>
      <c r="AU39" s="305"/>
      <c r="AV39" s="305"/>
      <c r="AW39" s="355">
        <v>0</v>
      </c>
    </row>
    <row r="40" spans="1:49" s="2254" customFormat="1" ht="0" hidden="1" customHeight="1">
      <c r="A40" s="1167"/>
      <c r="B40" s="1167"/>
      <c r="C40" s="1167"/>
      <c r="D40" s="1167"/>
      <c r="E40" s="1167"/>
      <c r="F40" s="1167"/>
      <c r="G40" s="1167"/>
      <c r="H40" s="1167"/>
      <c r="I40" s="1167"/>
      <c r="J40" s="1167"/>
      <c r="K40" s="1167"/>
      <c r="L40" s="1167"/>
      <c r="M40" s="1299"/>
      <c r="N40" s="1167"/>
      <c r="O40" s="1167"/>
      <c r="P40" s="1167"/>
      <c r="U40" s="260"/>
      <c r="V40" s="260"/>
      <c r="W40" s="1259"/>
      <c r="X40" s="263"/>
      <c r="Y40" s="263"/>
      <c r="Z40" s="263"/>
      <c r="AA40" s="263"/>
      <c r="AB40" s="263"/>
      <c r="AC40" s="263"/>
      <c r="AD40" s="263"/>
      <c r="AE40" s="263"/>
      <c r="AF40" s="215" t="s">
        <v>425</v>
      </c>
      <c r="AG40" s="263"/>
      <c r="AH40" s="263"/>
      <c r="AI40" s="263"/>
      <c r="AJ40" s="263"/>
      <c r="AK40" s="263"/>
      <c r="AL40" s="263"/>
      <c r="AM40" s="263"/>
      <c r="AN40" s="263"/>
      <c r="AO40" s="215" t="s">
        <v>425</v>
      </c>
      <c r="AR40" s="305"/>
      <c r="AS40" s="305"/>
      <c r="AT40" s="305"/>
      <c r="AU40" s="305"/>
      <c r="AV40" s="305"/>
      <c r="AW40" s="355">
        <v>0</v>
      </c>
    </row>
    <row r="41" spans="1:49" ht="14.65" customHeight="1">
      <c r="R41" s="313"/>
      <c r="S41" s="313"/>
      <c r="T41" s="313"/>
      <c r="U41" s="1194"/>
      <c r="V41" s="300"/>
      <c r="W41" s="1163"/>
      <c r="X41" s="2477"/>
      <c r="Y41" s="2477"/>
      <c r="Z41" s="2477"/>
      <c r="AA41" s="2477"/>
      <c r="AB41" s="2477"/>
      <c r="AC41" s="2477"/>
      <c r="AD41" s="2477"/>
      <c r="AE41" s="2477"/>
      <c r="AF41" s="2477"/>
      <c r="AG41" s="2477"/>
      <c r="AH41" s="2477"/>
      <c r="AI41" s="2477"/>
      <c r="AJ41" s="2477"/>
      <c r="AK41" s="2477"/>
      <c r="AL41" s="2477"/>
      <c r="AM41" s="2477"/>
      <c r="AN41" s="2477"/>
      <c r="AO41" s="2477"/>
      <c r="AW41" s="1074">
        <v>14</v>
      </c>
    </row>
    <row r="42" spans="1:49" ht="14.65" customHeight="1">
      <c r="R42" s="313"/>
      <c r="S42" s="313"/>
      <c r="T42" s="313"/>
      <c r="U42" s="2363" t="s">
        <v>298</v>
      </c>
      <c r="V42" s="2363"/>
      <c r="W42" s="2363"/>
      <c r="X42" s="2363"/>
      <c r="Y42" s="2363"/>
      <c r="Z42" s="2363"/>
      <c r="AA42" s="2363"/>
      <c r="AB42" s="2363"/>
      <c r="AC42" s="2363"/>
      <c r="AD42" s="2363"/>
      <c r="AE42" s="2363"/>
      <c r="AF42" s="2363"/>
      <c r="AG42" s="2363"/>
      <c r="AH42" s="2363"/>
      <c r="AI42" s="2363"/>
      <c r="AJ42" s="2363"/>
      <c r="AK42" s="2363"/>
      <c r="AL42" s="2363"/>
      <c r="AM42" s="2363"/>
      <c r="AN42" s="2363"/>
      <c r="AO42" s="2363"/>
      <c r="AP42" s="2363"/>
      <c r="AQ42" s="2363" t="s">
        <v>299</v>
      </c>
      <c r="AW42" s="1074">
        <v>14</v>
      </c>
    </row>
    <row r="43" spans="1:49" ht="14.65" customHeight="1">
      <c r="R43" s="313"/>
      <c r="S43" s="313"/>
      <c r="T43" s="313"/>
      <c r="U43" s="2491" t="s">
        <v>87</v>
      </c>
      <c r="V43" s="2442" t="s">
        <v>426</v>
      </c>
      <c r="W43" s="238"/>
      <c r="X43" s="2492" t="s">
        <v>427</v>
      </c>
      <c r="Y43" s="2509"/>
      <c r="Z43" s="2509"/>
      <c r="AA43" s="2509"/>
      <c r="AB43" s="2509"/>
      <c r="AC43" s="2493"/>
      <c r="AD43" s="2493"/>
      <c r="AE43" s="2494"/>
      <c r="AF43" s="2495" t="s">
        <v>428</v>
      </c>
      <c r="AG43" s="2492" t="s">
        <v>427</v>
      </c>
      <c r="AH43" s="2509"/>
      <c r="AI43" s="2509"/>
      <c r="AJ43" s="2509"/>
      <c r="AK43" s="2509"/>
      <c r="AL43" s="2493"/>
      <c r="AM43" s="2493"/>
      <c r="AN43" s="2494"/>
      <c r="AO43" s="2495" t="s">
        <v>429</v>
      </c>
      <c r="AP43" s="2498" t="s">
        <v>430</v>
      </c>
      <c r="AQ43" s="2363"/>
      <c r="AW43" s="1074">
        <v>14</v>
      </c>
    </row>
    <row r="44" spans="1:49" ht="35.65" customHeight="1">
      <c r="R44" s="313"/>
      <c r="S44" s="313"/>
      <c r="T44" s="313"/>
      <c r="U44" s="2491"/>
      <c r="V44" s="2442"/>
      <c r="W44" s="955"/>
      <c r="X44" s="2428" t="s">
        <v>453</v>
      </c>
      <c r="Y44" s="2363" t="s">
        <v>454</v>
      </c>
      <c r="Z44" s="2363"/>
      <c r="AA44" s="2363"/>
      <c r="AB44" s="2363"/>
      <c r="AC44" s="2428" t="s">
        <v>434</v>
      </c>
      <c r="AD44" s="2523"/>
      <c r="AE44" s="2429"/>
      <c r="AF44" s="2496"/>
      <c r="AG44" s="2428" t="s">
        <v>453</v>
      </c>
      <c r="AH44" s="2363" t="s">
        <v>454</v>
      </c>
      <c r="AI44" s="2363"/>
      <c r="AJ44" s="2363"/>
      <c r="AK44" s="2363"/>
      <c r="AL44" s="2428" t="s">
        <v>434</v>
      </c>
      <c r="AM44" s="2523"/>
      <c r="AN44" s="2429"/>
      <c r="AO44" s="2496"/>
      <c r="AP44" s="2499"/>
      <c r="AQ44" s="2363"/>
      <c r="AW44" s="1074">
        <v>34</v>
      </c>
    </row>
    <row r="45" spans="1:49" ht="14.65" customHeight="1">
      <c r="R45" s="313"/>
      <c r="S45" s="313"/>
      <c r="T45" s="313"/>
      <c r="U45" s="2491"/>
      <c r="V45" s="2442"/>
      <c r="W45" s="955"/>
      <c r="X45" s="2430"/>
      <c r="Y45" s="2456" t="s">
        <v>455</v>
      </c>
      <c r="Z45" s="2451" t="s">
        <v>456</v>
      </c>
      <c r="AA45" s="2452"/>
      <c r="AB45" s="2453"/>
      <c r="AC45" s="2433"/>
      <c r="AD45" s="2524"/>
      <c r="AE45" s="2434"/>
      <c r="AF45" s="2496"/>
      <c r="AG45" s="2430"/>
      <c r="AH45" s="2456" t="s">
        <v>455</v>
      </c>
      <c r="AI45" s="2451" t="s">
        <v>456</v>
      </c>
      <c r="AJ45" s="2452"/>
      <c r="AK45" s="2453"/>
      <c r="AL45" s="2433"/>
      <c r="AM45" s="2524"/>
      <c r="AN45" s="2434"/>
      <c r="AO45" s="2496"/>
      <c r="AP45" s="2499"/>
      <c r="AQ45" s="2363"/>
      <c r="AW45" s="1074">
        <v>14</v>
      </c>
    </row>
    <row r="46" spans="1:49" ht="27.4" customHeight="1">
      <c r="R46" s="313"/>
      <c r="S46" s="313"/>
      <c r="T46" s="313"/>
      <c r="U46" s="2491"/>
      <c r="V46" s="2442"/>
      <c r="W46" s="955"/>
      <c r="X46" s="2430"/>
      <c r="Y46" s="2525"/>
      <c r="Z46" s="2456" t="s">
        <v>457</v>
      </c>
      <c r="AA46" s="2451" t="s">
        <v>458</v>
      </c>
      <c r="AB46" s="2453"/>
      <c r="AC46" s="2456" t="s">
        <v>444</v>
      </c>
      <c r="AD46" s="2458" t="s">
        <v>445</v>
      </c>
      <c r="AE46" s="2460"/>
      <c r="AF46" s="2496"/>
      <c r="AG46" s="2430"/>
      <c r="AH46" s="2525"/>
      <c r="AI46" s="2456" t="s">
        <v>457</v>
      </c>
      <c r="AJ46" s="2451" t="s">
        <v>458</v>
      </c>
      <c r="AK46" s="2453"/>
      <c r="AL46" s="2456" t="s">
        <v>444</v>
      </c>
      <c r="AM46" s="2458" t="s">
        <v>445</v>
      </c>
      <c r="AN46" s="2460"/>
      <c r="AO46" s="2496"/>
      <c r="AP46" s="2499"/>
      <c r="AQ46" s="2363"/>
      <c r="AW46" s="1074">
        <v>26</v>
      </c>
    </row>
    <row r="47" spans="1:49" ht="65.25" customHeight="1">
      <c r="A47" s="1178"/>
      <c r="B47" s="1178" t="s">
        <v>135</v>
      </c>
      <c r="C47" s="1178" t="s">
        <v>136</v>
      </c>
      <c r="D47" s="1178" t="s">
        <v>137</v>
      </c>
      <c r="E47" s="1229" t="s">
        <v>435</v>
      </c>
      <c r="F47" s="1229" t="s">
        <v>436</v>
      </c>
      <c r="G47" s="1229" t="s">
        <v>437</v>
      </c>
      <c r="H47" s="1229" t="s">
        <v>438</v>
      </c>
      <c r="I47" s="1229" t="s">
        <v>439</v>
      </c>
      <c r="J47" s="1229" t="s">
        <v>440</v>
      </c>
      <c r="K47" s="1229" t="s">
        <v>441</v>
      </c>
      <c r="L47" s="1229" t="s">
        <v>459</v>
      </c>
      <c r="M47" s="1229" t="s">
        <v>416</v>
      </c>
      <c r="R47" s="313"/>
      <c r="S47" s="313"/>
      <c r="T47" s="313"/>
      <c r="U47" s="2491"/>
      <c r="V47" s="2442"/>
      <c r="W47" s="239"/>
      <c r="X47" s="2433"/>
      <c r="Y47" s="2457"/>
      <c r="Z47" s="2457"/>
      <c r="AA47" s="1141" t="s">
        <v>460</v>
      </c>
      <c r="AB47" s="1141" t="s">
        <v>461</v>
      </c>
      <c r="AC47" s="2457"/>
      <c r="AD47" s="2459"/>
      <c r="AE47" s="2461"/>
      <c r="AF47" s="2497"/>
      <c r="AG47" s="2433"/>
      <c r="AH47" s="2457"/>
      <c r="AI47" s="2457"/>
      <c r="AJ47" s="1141" t="s">
        <v>460</v>
      </c>
      <c r="AK47" s="1141" t="s">
        <v>461</v>
      </c>
      <c r="AL47" s="2457"/>
      <c r="AM47" s="2459"/>
      <c r="AN47" s="2461"/>
      <c r="AO47" s="2497"/>
      <c r="AP47" s="2500"/>
      <c r="AQ47" s="2363"/>
      <c r="AW47" s="1074">
        <v>62</v>
      </c>
    </row>
    <row r="48" spans="1:49" s="2269" customFormat="1" ht="11.25" hidden="1" customHeight="1">
      <c r="A48" s="1178"/>
      <c r="B48" s="1178"/>
      <c r="C48" s="1178"/>
      <c r="D48" s="1178"/>
      <c r="E48" s="1178"/>
      <c r="F48" s="1178"/>
      <c r="G48" s="1178"/>
      <c r="H48" s="1178"/>
      <c r="I48" s="1178"/>
      <c r="J48" s="1178"/>
      <c r="K48" s="1178"/>
      <c r="L48" s="1178"/>
      <c r="M48" s="1229"/>
      <c r="N48" s="1247"/>
      <c r="O48" s="1247"/>
      <c r="P48" s="1247"/>
      <c r="Q48" s="1165"/>
      <c r="R48" s="1166"/>
      <c r="S48" s="1173">
        <v>1</v>
      </c>
      <c r="T48" s="1173"/>
      <c r="U48" s="1196" t="s">
        <v>108</v>
      </c>
      <c r="V48" s="1174" t="s">
        <v>109</v>
      </c>
      <c r="W48" s="1164" t="str">
        <f ca="1">OFFSET(W48,0,-1)</f>
        <v>2</v>
      </c>
      <c r="X48" s="1254">
        <f ca="1">OFFSET(X48,0,-1)+1</f>
        <v>3</v>
      </c>
      <c r="Y48" s="1260"/>
      <c r="Z48" s="1260"/>
      <c r="AA48" s="1260">
        <f ca="1">OFFSET(AA48,0,-1)+1</f>
        <v>1</v>
      </c>
      <c r="AB48" s="1260">
        <f ca="1">OFFSET(AB48,0,-1)+1</f>
        <v>2</v>
      </c>
      <c r="AC48" s="1254">
        <f ca="1">OFFSET(AC48,0,-1)+1</f>
        <v>3</v>
      </c>
      <c r="AD48" s="2490">
        <f ca="1">OFFSET(AD48,0,-1)+1</f>
        <v>4</v>
      </c>
      <c r="AE48" s="2490"/>
      <c r="AF48" s="1254">
        <f ca="1">OFFSET(AF48,0,-2)+1</f>
        <v>5</v>
      </c>
      <c r="AG48" s="1254">
        <f ca="1">OFFSET(AG48,0,-1)+1</f>
        <v>6</v>
      </c>
      <c r="AH48" s="1254"/>
      <c r="AI48" s="1254"/>
      <c r="AJ48" s="1254">
        <f ca="1">OFFSET(AJ48,0,-1)+1</f>
        <v>1</v>
      </c>
      <c r="AK48" s="1254">
        <f ca="1">OFFSET(AK48,0,-1)+1</f>
        <v>2</v>
      </c>
      <c r="AL48" s="1254">
        <f ca="1">OFFSET(AL48,0,-1)+1</f>
        <v>3</v>
      </c>
      <c r="AM48" s="2490">
        <f ca="1">OFFSET(AM48,0,-1)+1</f>
        <v>4</v>
      </c>
      <c r="AN48" s="2490"/>
      <c r="AO48" s="1254">
        <f ca="1">OFFSET(AO48,0,-2)+1</f>
        <v>5</v>
      </c>
      <c r="AP48" s="1164">
        <f ca="1">OFFSET(AP48,0,-1)</f>
        <v>5</v>
      </c>
      <c r="AQ48" s="1254">
        <f ca="1">OFFSET(AQ48,0,-1)+1</f>
        <v>6</v>
      </c>
      <c r="AR48" s="448"/>
      <c r="AS48" s="448"/>
      <c r="AT48" s="448"/>
      <c r="AU48" s="448"/>
      <c r="AV48" s="448"/>
      <c r="AW48" s="433">
        <v>0</v>
      </c>
    </row>
    <row r="49" spans="1:49" ht="21.95" customHeight="1">
      <c r="A49" s="1186" t="s">
        <v>174</v>
      </c>
      <c r="B49" s="1186"/>
      <c r="C49" s="1186"/>
      <c r="D49" s="1186"/>
      <c r="E49" s="2507">
        <v>1</v>
      </c>
      <c r="F49" s="1186"/>
      <c r="G49" s="1186"/>
      <c r="H49" s="1186"/>
      <c r="I49" s="1186"/>
      <c r="J49" s="1186"/>
      <c r="K49" s="1186"/>
      <c r="L49" s="1186"/>
      <c r="M49" s="1229"/>
      <c r="N49" s="625"/>
      <c r="O49" s="625"/>
      <c r="P49" s="625"/>
      <c r="Q49" s="298"/>
      <c r="R49" s="297"/>
      <c r="S49" s="297"/>
      <c r="T49" s="292"/>
      <c r="U49" s="1255">
        <f>INDEX(PT_DIFFERENTIATION_NUM_NTAR,MATCH(A49,PT_DIFFERENTIATION_NTAR_ID,0))</f>
        <v>0</v>
      </c>
      <c r="V49" s="235" t="s">
        <v>123</v>
      </c>
      <c r="W49" s="237"/>
      <c r="X49" s="2469"/>
      <c r="Y49" s="2470"/>
      <c r="Z49" s="2470"/>
      <c r="AA49" s="2470"/>
      <c r="AB49" s="2470"/>
      <c r="AC49" s="2470"/>
      <c r="AD49" s="2470"/>
      <c r="AE49" s="2470"/>
      <c r="AF49" s="2471"/>
      <c r="AG49" s="2469" t="str">
        <f>INDEX(PT_DIFFERENTIATION_NTAR,MATCH(A49,PT_DIFFERENTIATION_NTAR_ID,0))</f>
        <v/>
      </c>
      <c r="AH49" s="2470"/>
      <c r="AI49" s="2470"/>
      <c r="AJ49" s="2470"/>
      <c r="AK49" s="2470"/>
      <c r="AL49" s="2470"/>
      <c r="AM49" s="2470"/>
      <c r="AN49" s="2470"/>
      <c r="AO49" s="2470"/>
      <c r="AP49" s="2471"/>
      <c r="AQ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74">
        <v>21</v>
      </c>
    </row>
    <row r="50" spans="1:49" ht="21.95" customHeight="1">
      <c r="A50" s="1186" t="s">
        <v>174</v>
      </c>
      <c r="B50" s="1186" t="s">
        <v>175</v>
      </c>
      <c r="C50" s="1186"/>
      <c r="D50" s="1186"/>
      <c r="E50" s="2508"/>
      <c r="F50" s="2507">
        <v>1</v>
      </c>
      <c r="G50" s="1186"/>
      <c r="H50" s="1186"/>
      <c r="I50" s="1186"/>
      <c r="J50" s="1186"/>
      <c r="K50" s="1186"/>
      <c r="L50" s="1186"/>
      <c r="M50" s="1229"/>
      <c r="N50" s="625"/>
      <c r="O50" s="625"/>
      <c r="P50" s="625"/>
      <c r="Q50" s="1251"/>
      <c r="R50" s="289"/>
      <c r="S50" s="446"/>
      <c r="T50" s="290"/>
      <c r="U50" s="1255" t="str">
        <f>INDEX(PT_DIFFERENTIATION_NUM_TER,MATCH(B50,PT_DIFFERENTIATION_TER_ID,0))</f>
        <v>.</v>
      </c>
      <c r="V50" s="245" t="s">
        <v>395</v>
      </c>
      <c r="W50" s="237"/>
      <c r="X50" s="2469"/>
      <c r="Y50" s="2470"/>
      <c r="Z50" s="2470"/>
      <c r="AA50" s="2470"/>
      <c r="AB50" s="2470"/>
      <c r="AC50" s="2470"/>
      <c r="AD50" s="2470"/>
      <c r="AE50" s="2470"/>
      <c r="AF50" s="2471"/>
      <c r="AG50" s="2469" t="str">
        <f>INDEX(PT_DIFFERENTIATION_TER,MATCH(B50,PT_DIFFERENTIATION_TER_ID,0))</f>
        <v/>
      </c>
      <c r="AH50" s="2470"/>
      <c r="AI50" s="2470"/>
      <c r="AJ50" s="2470"/>
      <c r="AK50" s="2470"/>
      <c r="AL50" s="2470"/>
      <c r="AM50" s="2470"/>
      <c r="AN50" s="2470"/>
      <c r="AO50" s="2470"/>
      <c r="AP50" s="2471"/>
      <c r="AQ50" s="1177" t="s">
        <v>396</v>
      </c>
      <c r="AS50" s="437"/>
      <c r="AT50" s="437" t="str">
        <f t="shared" si="2"/>
        <v>Территория действия тарифа</v>
      </c>
      <c r="AU50" s="437"/>
      <c r="AV50" s="437"/>
      <c r="AW50" s="1074">
        <v>21</v>
      </c>
    </row>
    <row r="51" spans="1:49" ht="24" customHeight="1">
      <c r="A51" s="1186" t="s">
        <v>174</v>
      </c>
      <c r="B51" s="1186" t="s">
        <v>175</v>
      </c>
      <c r="C51" s="1186" t="s">
        <v>176</v>
      </c>
      <c r="D51" s="1186"/>
      <c r="E51" s="2508"/>
      <c r="F51" s="2508"/>
      <c r="G51" s="2507">
        <v>1</v>
      </c>
      <c r="H51" s="1186"/>
      <c r="I51" s="1186"/>
      <c r="J51" s="1186"/>
      <c r="K51" s="1186"/>
      <c r="L51" s="1186"/>
      <c r="M51" s="1229"/>
      <c r="N51" s="625"/>
      <c r="O51" s="625"/>
      <c r="P51" s="625"/>
      <c r="Q51" s="291"/>
      <c r="R51" s="289"/>
      <c r="S51" s="446"/>
      <c r="T51" s="290"/>
      <c r="U51" s="1255" t="str">
        <f>INDEX(PT_DIFFERENTIATION_NUM_CS,MATCH(C51,PT_DIFFERENTIATION_CS_ID,0))</f>
        <v>..</v>
      </c>
      <c r="V51" s="246" t="s">
        <v>397</v>
      </c>
      <c r="W51" s="237"/>
      <c r="X51" s="2469"/>
      <c r="Y51" s="2470"/>
      <c r="Z51" s="2470"/>
      <c r="AA51" s="2470"/>
      <c r="AB51" s="2470"/>
      <c r="AC51" s="2470"/>
      <c r="AD51" s="2470"/>
      <c r="AE51" s="2470"/>
      <c r="AF51" s="2471"/>
      <c r="AG51" s="2469" t="str">
        <f>INDEX(PT_DIFFERENTIATION_CS,MATCH(C51,PT_DIFFERENTIATION_CS_ID,0))</f>
        <v/>
      </c>
      <c r="AH51" s="2470"/>
      <c r="AI51" s="2470"/>
      <c r="AJ51" s="2470"/>
      <c r="AK51" s="2470"/>
      <c r="AL51" s="2470"/>
      <c r="AM51" s="2470"/>
      <c r="AN51" s="2470"/>
      <c r="AO51" s="2470"/>
      <c r="AP51" s="2471"/>
      <c r="AQ51" s="1177" t="s">
        <v>398</v>
      </c>
      <c r="AS51" s="437"/>
      <c r="AT51" s="437" t="str">
        <f t="shared" si="2"/>
        <v xml:space="preserve">Наименование системы теплоснабжения </v>
      </c>
      <c r="AU51" s="437"/>
      <c r="AV51" s="437"/>
      <c r="AW51" s="1074">
        <v>23</v>
      </c>
    </row>
    <row r="52" spans="1:49" ht="21.95" customHeight="1">
      <c r="A52" s="1186" t="s">
        <v>174</v>
      </c>
      <c r="B52" s="1186" t="s">
        <v>175</v>
      </c>
      <c r="C52" s="1186" t="s">
        <v>176</v>
      </c>
      <c r="D52" s="1186" t="s">
        <v>177</v>
      </c>
      <c r="E52" s="2508"/>
      <c r="F52" s="2508"/>
      <c r="G52" s="2508"/>
      <c r="H52" s="2507">
        <v>1</v>
      </c>
      <c r="I52" s="1186"/>
      <c r="J52" s="1186"/>
      <c r="K52" s="1186"/>
      <c r="L52" s="1186"/>
      <c r="M52" s="1229"/>
      <c r="N52" s="625"/>
      <c r="O52" s="625"/>
      <c r="P52" s="625"/>
      <c r="Q52" s="291"/>
      <c r="R52" s="289"/>
      <c r="S52" s="446"/>
      <c r="T52" s="290"/>
      <c r="U52" s="1255" t="str">
        <f>INDEX(PT_DIFFERENTIATION_NUM_IST_TE,MATCH(D52,PT_DIFFERENTIATION_IST_TE_ID,0))</f>
        <v>...</v>
      </c>
      <c r="V52" s="247" t="s">
        <v>399</v>
      </c>
      <c r="W52" s="237"/>
      <c r="X52" s="2469"/>
      <c r="Y52" s="2470"/>
      <c r="Z52" s="2470"/>
      <c r="AA52" s="2470"/>
      <c r="AB52" s="2470"/>
      <c r="AC52" s="2470"/>
      <c r="AD52" s="2470"/>
      <c r="AE52" s="2470"/>
      <c r="AF52" s="2471"/>
      <c r="AG52" s="2469" t="str">
        <f>INDEX(PT_DIFFERENTIATION_IST_TE,MATCH(D52,PT_DIFFERENTIATION_IST_TE_ID,0))</f>
        <v/>
      </c>
      <c r="AH52" s="2470"/>
      <c r="AI52" s="2470"/>
      <c r="AJ52" s="2470"/>
      <c r="AK52" s="2470"/>
      <c r="AL52" s="2470"/>
      <c r="AM52" s="2470"/>
      <c r="AN52" s="2470"/>
      <c r="AO52" s="2470"/>
      <c r="AP52" s="2471"/>
      <c r="AQ52" s="1177" t="s">
        <v>400</v>
      </c>
      <c r="AS52" s="437"/>
      <c r="AT52" s="437" t="str">
        <f t="shared" si="2"/>
        <v xml:space="preserve">Источник тепловой энергии  </v>
      </c>
      <c r="AU52" s="437"/>
      <c r="AV52" s="437"/>
      <c r="AW52" s="1074">
        <v>21</v>
      </c>
    </row>
    <row r="53" spans="1:49" s="2245" customFormat="1" ht="0" hidden="1" customHeight="1">
      <c r="A53" s="1294" t="s">
        <v>174</v>
      </c>
      <c r="B53" s="1294" t="s">
        <v>175</v>
      </c>
      <c r="C53" s="1294" t="s">
        <v>176</v>
      </c>
      <c r="D53" s="1294" t="s">
        <v>177</v>
      </c>
      <c r="E53" s="2508"/>
      <c r="F53" s="2508"/>
      <c r="G53" s="2508"/>
      <c r="H53" s="2508"/>
      <c r="I53" s="2363" t="str">
        <f>U52&amp;".1"</f>
        <v>....1</v>
      </c>
      <c r="J53" s="1294"/>
      <c r="K53" s="1294"/>
      <c r="L53" s="1294"/>
      <c r="M53" s="1300" t="s">
        <v>401</v>
      </c>
      <c r="N53" s="1165"/>
      <c r="O53" s="1165"/>
      <c r="P53" s="1165"/>
      <c r="Q53" s="2482">
        <v>1</v>
      </c>
      <c r="R53" s="1250"/>
      <c r="S53" s="1250"/>
      <c r="T53" s="293"/>
      <c r="U53" s="966"/>
      <c r="V53" s="1302"/>
      <c r="W53" s="1303"/>
      <c r="X53" s="2512"/>
      <c r="Y53" s="2513"/>
      <c r="Z53" s="2513"/>
      <c r="AA53" s="2513"/>
      <c r="AB53" s="2513"/>
      <c r="AC53" s="2513"/>
      <c r="AD53" s="2513"/>
      <c r="AE53" s="2513"/>
      <c r="AF53" s="2514"/>
      <c r="AG53" s="2512"/>
      <c r="AH53" s="2513"/>
      <c r="AI53" s="2513"/>
      <c r="AJ53" s="2513"/>
      <c r="AK53" s="2513"/>
      <c r="AL53" s="2513"/>
      <c r="AM53" s="2513"/>
      <c r="AN53" s="2513"/>
      <c r="AO53" s="2513"/>
      <c r="AP53" s="2514"/>
      <c r="AQ53" s="1304"/>
      <c r="AS53" s="437"/>
      <c r="AT53" s="437" t="str">
        <f t="shared" si="2"/>
        <v/>
      </c>
      <c r="AU53" s="437"/>
      <c r="AV53" s="437"/>
      <c r="AW53" s="448">
        <v>0</v>
      </c>
    </row>
    <row r="54" spans="1:49" ht="21.95" customHeight="1">
      <c r="A54" s="1186" t="s">
        <v>174</v>
      </c>
      <c r="B54" s="1186" t="s">
        <v>175</v>
      </c>
      <c r="C54" s="1186" t="s">
        <v>176</v>
      </c>
      <c r="D54" s="1186" t="s">
        <v>177</v>
      </c>
      <c r="E54" s="2508"/>
      <c r="F54" s="2508"/>
      <c r="G54" s="2508"/>
      <c r="H54" s="2508"/>
      <c r="I54" s="2335"/>
      <c r="J54" s="2363" t="str">
        <f>I53&amp;".1"</f>
        <v>....1.1</v>
      </c>
      <c r="K54" s="1186"/>
      <c r="L54" s="1186"/>
      <c r="M54" s="1229" t="s">
        <v>404</v>
      </c>
      <c r="Q54" s="2482"/>
      <c r="R54" s="2482">
        <v>1</v>
      </c>
      <c r="S54" s="455"/>
      <c r="T54" s="294"/>
      <c r="U54" s="1255" t="str">
        <f>$J54</f>
        <v>....1.1</v>
      </c>
      <c r="V54" s="223" t="s">
        <v>405</v>
      </c>
      <c r="W54" s="237"/>
      <c r="X54" s="2472"/>
      <c r="Y54" s="2473"/>
      <c r="Z54" s="2473"/>
      <c r="AA54" s="2473"/>
      <c r="AB54" s="2473"/>
      <c r="AC54" s="2465"/>
      <c r="AD54" s="2465"/>
      <c r="AE54" s="2465"/>
      <c r="AF54" s="2522"/>
      <c r="AG54" s="2472"/>
      <c r="AH54" s="2473"/>
      <c r="AI54" s="2473"/>
      <c r="AJ54" s="2473"/>
      <c r="AK54" s="2473"/>
      <c r="AL54" s="2473"/>
      <c r="AM54" s="2473"/>
      <c r="AN54" s="2473"/>
      <c r="AO54" s="2473"/>
      <c r="AP54" s="2474"/>
      <c r="AQ54" s="1177" t="s">
        <v>406</v>
      </c>
      <c r="AS54" s="437"/>
      <c r="AT54" s="437" t="str">
        <f t="shared" si="2"/>
        <v>Группа потребителей</v>
      </c>
      <c r="AU54" s="437"/>
      <c r="AV54" s="437"/>
      <c r="AW54" s="1074">
        <v>21</v>
      </c>
    </row>
    <row r="55" spans="1:49" ht="21.95" customHeight="1">
      <c r="A55" s="1186" t="s">
        <v>174</v>
      </c>
      <c r="B55" s="1186" t="s">
        <v>175</v>
      </c>
      <c r="C55" s="1186" t="s">
        <v>176</v>
      </c>
      <c r="D55" s="1186" t="s">
        <v>177</v>
      </c>
      <c r="E55" s="2508"/>
      <c r="F55" s="2508"/>
      <c r="G55" s="2508"/>
      <c r="H55" s="2508"/>
      <c r="I55" s="2335"/>
      <c r="J55" s="2335"/>
      <c r="K55" s="2363" t="str">
        <f>J54&amp;".1"</f>
        <v>....1.1.1</v>
      </c>
      <c r="L55" s="78"/>
      <c r="M55" s="1229" t="s">
        <v>407</v>
      </c>
      <c r="Q55" s="2482"/>
      <c r="R55" s="2482"/>
      <c r="S55" s="455">
        <v>1</v>
      </c>
      <c r="T55" s="294"/>
      <c r="U55" s="1255" t="str">
        <f>$K55</f>
        <v>....1.1.1</v>
      </c>
      <c r="V55" s="1266"/>
      <c r="W55" s="237"/>
      <c r="X55" s="688"/>
      <c r="Y55" s="688"/>
      <c r="Z55" s="688"/>
      <c r="AA55" s="688"/>
      <c r="AB55" s="1324"/>
      <c r="AC55" s="2486"/>
      <c r="AD55" s="2344" t="s">
        <v>64</v>
      </c>
      <c r="AE55" s="2486"/>
      <c r="AF55" s="2344" t="s">
        <v>64</v>
      </c>
      <c r="AG55" s="1326"/>
      <c r="AH55" s="688"/>
      <c r="AI55" s="688"/>
      <c r="AJ55" s="688"/>
      <c r="AK55" s="1176"/>
      <c r="AL55" s="2486"/>
      <c r="AM55" s="2344" t="s">
        <v>64</v>
      </c>
      <c r="AN55" s="2486"/>
      <c r="AO55" s="2344" t="s">
        <v>64</v>
      </c>
      <c r="AP55" s="1267"/>
      <c r="AQ55" s="1226" t="s">
        <v>450</v>
      </c>
      <c r="AR55" s="448" t="e">
        <f ca="1">STRCHECKDATE(X57:AP57)</f>
        <v>#NAME?</v>
      </c>
      <c r="AS55" s="437"/>
      <c r="AT55" s="437" t="str">
        <f t="shared" si="2"/>
        <v/>
      </c>
      <c r="AU55" s="437"/>
      <c r="AV55" s="437"/>
      <c r="AW55" s="1074">
        <v>21</v>
      </c>
    </row>
    <row r="56" spans="1:49" ht="11.45" customHeight="1">
      <c r="A56" s="1186" t="s">
        <v>174</v>
      </c>
      <c r="B56" s="1186" t="s">
        <v>175</v>
      </c>
      <c r="C56" s="1186" t="s">
        <v>176</v>
      </c>
      <c r="D56" s="1186" t="s">
        <v>177</v>
      </c>
      <c r="E56" s="2508"/>
      <c r="F56" s="2508"/>
      <c r="G56" s="2508"/>
      <c r="H56" s="2508"/>
      <c r="I56" s="2335"/>
      <c r="J56" s="2335"/>
      <c r="K56" s="2335"/>
      <c r="L56" s="2363" t="str">
        <f>K55&amp;".1"</f>
        <v>....1.1.1.1</v>
      </c>
      <c r="M56" s="1229"/>
      <c r="Q56" s="2482"/>
      <c r="R56" s="2482"/>
      <c r="S56" s="455">
        <v>1</v>
      </c>
      <c r="T56" s="294"/>
      <c r="U56" s="1255" t="str">
        <f>$L56</f>
        <v>....1.1.1.1</v>
      </c>
      <c r="V56" s="1310"/>
      <c r="W56" s="237"/>
      <c r="X56" s="262"/>
      <c r="Y56" s="688"/>
      <c r="Z56" s="688"/>
      <c r="AA56" s="688"/>
      <c r="AB56" s="1324"/>
      <c r="AC56" s="2487"/>
      <c r="AD56" s="2344"/>
      <c r="AE56" s="2487"/>
      <c r="AF56" s="2344"/>
      <c r="AG56" s="1326"/>
      <c r="AH56" s="688"/>
      <c r="AI56" s="688"/>
      <c r="AJ56" s="688"/>
      <c r="AK56" s="1176"/>
      <c r="AL56" s="2487"/>
      <c r="AM56" s="2344"/>
      <c r="AN56" s="2487"/>
      <c r="AO56" s="2344"/>
      <c r="AP56" s="1267"/>
      <c r="AQ56" s="2478" t="s">
        <v>451</v>
      </c>
      <c r="AR56" s="448" t="e">
        <f ca="1">STRCHECKDATE(X58:AP58)</f>
        <v>#NAME?</v>
      </c>
      <c r="AS56" s="437"/>
      <c r="AT56" s="437" t="str">
        <f t="shared" si="2"/>
        <v/>
      </c>
      <c r="AU56" s="437"/>
      <c r="AV56" s="437"/>
      <c r="AW56" s="1074">
        <v>11</v>
      </c>
    </row>
    <row r="57" spans="1:49" ht="0" hidden="1" customHeight="1">
      <c r="A57" s="1186" t="s">
        <v>174</v>
      </c>
      <c r="B57" s="1186" t="s">
        <v>175</v>
      </c>
      <c r="C57" s="1186" t="s">
        <v>176</v>
      </c>
      <c r="D57" s="1186" t="s">
        <v>177</v>
      </c>
      <c r="E57" s="2508"/>
      <c r="F57" s="2508"/>
      <c r="G57" s="2508"/>
      <c r="H57" s="2508"/>
      <c r="I57" s="2335"/>
      <c r="J57" s="2335"/>
      <c r="K57" s="2335"/>
      <c r="L57" s="2363"/>
      <c r="M57" s="1229"/>
      <c r="Q57" s="2482"/>
      <c r="R57" s="2482"/>
      <c r="S57" s="455"/>
      <c r="T57" s="294"/>
      <c r="U57" s="1261"/>
      <c r="V57" s="237"/>
      <c r="W57" s="237"/>
      <c r="X57" s="262"/>
      <c r="Y57" s="262"/>
      <c r="Z57" s="262"/>
      <c r="AA57" s="262"/>
      <c r="AB57" s="1325" t="str">
        <f>AC55&amp;"-"&amp;AE55</f>
        <v>-</v>
      </c>
      <c r="AC57" s="2487"/>
      <c r="AD57" s="2344"/>
      <c r="AE57" s="2487"/>
      <c r="AF57" s="2344"/>
      <c r="AG57" s="1301"/>
      <c r="AH57" s="262"/>
      <c r="AI57" s="262"/>
      <c r="AJ57" s="262"/>
      <c r="AK57" s="265" t="str">
        <f>AL55&amp;"-"&amp;AN55</f>
        <v>-</v>
      </c>
      <c r="AL57" s="2487"/>
      <c r="AM57" s="2344"/>
      <c r="AN57" s="2487"/>
      <c r="AO57" s="2344"/>
      <c r="AP57" s="1268"/>
      <c r="AQ57" s="2479"/>
      <c r="AS57" s="437"/>
      <c r="AT57" s="437" t="str">
        <f t="shared" si="2"/>
        <v/>
      </c>
      <c r="AU57" s="437"/>
      <c r="AV57" s="437"/>
      <c r="AW57" s="1074">
        <v>0</v>
      </c>
    </row>
    <row r="58" spans="1:49" ht="11.45" customHeight="1">
      <c r="A58" s="1186" t="s">
        <v>174</v>
      </c>
      <c r="B58" s="1186" t="s">
        <v>175</v>
      </c>
      <c r="C58" s="1186" t="s">
        <v>176</v>
      </c>
      <c r="D58" s="1186" t="s">
        <v>177</v>
      </c>
      <c r="E58" s="2508"/>
      <c r="F58" s="2508"/>
      <c r="G58" s="2508"/>
      <c r="H58" s="2508"/>
      <c r="I58" s="2335"/>
      <c r="J58" s="2335"/>
      <c r="K58" s="2363"/>
      <c r="L58" s="1186"/>
      <c r="M58" s="1229"/>
      <c r="Q58" s="2482"/>
      <c r="R58" s="2482"/>
      <c r="S58" s="1250"/>
      <c r="T58" s="293"/>
      <c r="U58" s="1197"/>
      <c r="V58" s="225" t="s">
        <v>452</v>
      </c>
      <c r="W58" s="304"/>
      <c r="X58" s="304"/>
      <c r="Y58" s="304"/>
      <c r="Z58" s="304"/>
      <c r="AA58" s="304"/>
      <c r="AB58" s="304"/>
      <c r="AC58" s="2487"/>
      <c r="AD58" s="2344"/>
      <c r="AE58" s="2487"/>
      <c r="AF58" s="2344"/>
      <c r="AG58" s="304"/>
      <c r="AH58" s="304"/>
      <c r="AI58" s="304"/>
      <c r="AJ58" s="304"/>
      <c r="AK58" s="304"/>
      <c r="AL58" s="2487"/>
      <c r="AM58" s="2344"/>
      <c r="AN58" s="2487"/>
      <c r="AO58" s="2344"/>
      <c r="AP58" s="261"/>
      <c r="AQ58" s="2479"/>
      <c r="AS58" s="437"/>
      <c r="AT58" s="437" t="str">
        <f t="shared" si="2"/>
        <v>Добавить наименование поставщика</v>
      </c>
      <c r="AU58" s="437"/>
      <c r="AV58" s="437"/>
      <c r="AW58" s="1074">
        <v>11</v>
      </c>
    </row>
    <row r="59" spans="1:49" ht="11.45" customHeight="1">
      <c r="A59" s="1186" t="s">
        <v>174</v>
      </c>
      <c r="B59" s="1186" t="s">
        <v>175</v>
      </c>
      <c r="C59" s="1186" t="s">
        <v>176</v>
      </c>
      <c r="D59" s="1186" t="s">
        <v>177</v>
      </c>
      <c r="E59" s="2508"/>
      <c r="F59" s="2508"/>
      <c r="G59" s="2508"/>
      <c r="H59" s="2508"/>
      <c r="I59" s="2335"/>
      <c r="J59" s="2363"/>
      <c r="K59" s="1186"/>
      <c r="L59" s="1186"/>
      <c r="M59" s="1229"/>
      <c r="Q59" s="2482"/>
      <c r="R59" s="2482"/>
      <c r="S59" s="1250"/>
      <c r="T59" s="293"/>
      <c r="U59" s="1197"/>
      <c r="V59" s="224" t="s">
        <v>409</v>
      </c>
      <c r="W59" s="304"/>
      <c r="X59" s="304"/>
      <c r="Y59" s="304"/>
      <c r="Z59" s="304"/>
      <c r="AA59" s="304"/>
      <c r="AB59" s="304"/>
      <c r="AC59" s="1327"/>
      <c r="AD59" s="1327"/>
      <c r="AE59" s="1327"/>
      <c r="AF59" s="1327"/>
      <c r="AG59" s="304"/>
      <c r="AH59" s="304"/>
      <c r="AI59" s="304"/>
      <c r="AJ59" s="304"/>
      <c r="AK59" s="304"/>
      <c r="AL59" s="304"/>
      <c r="AM59" s="304"/>
      <c r="AN59" s="304"/>
      <c r="AO59" s="304"/>
      <c r="AP59" s="261"/>
      <c r="AQ59" s="2480"/>
      <c r="AS59" s="437"/>
      <c r="AT59" s="437" t="str">
        <f t="shared" si="2"/>
        <v>Добавить вид теплоносителя (параметры теплоносителя)</v>
      </c>
      <c r="AU59" s="437"/>
      <c r="AV59" s="437"/>
      <c r="AW59" s="1074">
        <v>11</v>
      </c>
    </row>
    <row r="60" spans="1:49" ht="11.45" customHeight="1">
      <c r="A60" s="1186" t="s">
        <v>174</v>
      </c>
      <c r="B60" s="1186" t="s">
        <v>175</v>
      </c>
      <c r="C60" s="1186" t="s">
        <v>176</v>
      </c>
      <c r="D60" s="1186" t="s">
        <v>177</v>
      </c>
      <c r="E60" s="2508"/>
      <c r="F60" s="2508"/>
      <c r="G60" s="2508"/>
      <c r="H60" s="2508"/>
      <c r="I60" s="2363"/>
      <c r="J60" s="1186"/>
      <c r="K60" s="1186"/>
      <c r="L60" s="1186"/>
      <c r="M60" s="1229"/>
      <c r="Q60" s="2482"/>
      <c r="R60" s="1250"/>
      <c r="S60" s="1250"/>
      <c r="T60" s="293"/>
      <c r="U60" s="1197"/>
      <c r="V60" s="302" t="s">
        <v>410</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74">
        <v>11</v>
      </c>
    </row>
    <row r="61" spans="1:49" ht="0" hidden="1" customHeight="1">
      <c r="A61" s="1186" t="s">
        <v>174</v>
      </c>
      <c r="B61" s="1186" t="s">
        <v>175</v>
      </c>
      <c r="C61" s="1186" t="s">
        <v>176</v>
      </c>
      <c r="D61" s="1186" t="s">
        <v>177</v>
      </c>
      <c r="E61" s="2508"/>
      <c r="F61" s="2508"/>
      <c r="G61" s="2508"/>
      <c r="H61" s="2507"/>
      <c r="I61" s="1186"/>
      <c r="J61" s="1186"/>
      <c r="K61" s="1186"/>
      <c r="L61" s="1186"/>
      <c r="M61" s="1229"/>
      <c r="N61" s="625"/>
      <c r="O61" s="625"/>
      <c r="P61" s="446"/>
      <c r="Q61" s="297"/>
      <c r="R61" s="312"/>
      <c r="S61" s="292"/>
      <c r="T61" s="297"/>
      <c r="U61" s="1305"/>
      <c r="V61" s="1306"/>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8"/>
      <c r="AS61" s="437"/>
      <c r="AT61" s="437" t="str">
        <f t="shared" si="2"/>
        <v/>
      </c>
      <c r="AU61" s="437"/>
      <c r="AV61" s="437"/>
      <c r="AW61" s="1074">
        <v>0</v>
      </c>
    </row>
    <row r="62" spans="1:49" s="2245" customFormat="1" ht="0" hidden="1" customHeight="1">
      <c r="A62" s="1294" t="s">
        <v>174</v>
      </c>
      <c r="B62" s="1294" t="s">
        <v>175</v>
      </c>
      <c r="C62" s="1294" t="s">
        <v>176</v>
      </c>
      <c r="D62" s="1293"/>
      <c r="E62" s="2508"/>
      <c r="F62" s="2508"/>
      <c r="G62" s="2507"/>
      <c r="H62" s="1293"/>
      <c r="I62" s="1293"/>
      <c r="J62" s="1293"/>
      <c r="K62" s="1293"/>
      <c r="L62" s="1293"/>
      <c r="M62" s="1296"/>
      <c r="N62" s="1297"/>
      <c r="O62" s="1297"/>
      <c r="P62" s="288"/>
      <c r="Q62" s="1235"/>
      <c r="R62" s="1236"/>
      <c r="S62" s="1235"/>
      <c r="T62" s="1235"/>
      <c r="U62" s="1241"/>
      <c r="V62" s="1244" t="s">
        <v>412</v>
      </c>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S62" s="720"/>
      <c r="AT62" s="720" t="str">
        <f t="shared" si="2"/>
        <v>Добавить источник для дифференциации</v>
      </c>
      <c r="AU62" s="720"/>
      <c r="AV62" s="720"/>
      <c r="AW62" s="455">
        <v>0</v>
      </c>
    </row>
    <row r="63" spans="1:49" s="2245" customFormat="1" ht="0" hidden="1" customHeight="1">
      <c r="A63" s="1294" t="s">
        <v>174</v>
      </c>
      <c r="B63" s="1294" t="s">
        <v>175</v>
      </c>
      <c r="C63" s="1293"/>
      <c r="D63" s="1293"/>
      <c r="E63" s="2508"/>
      <c r="F63" s="2507"/>
      <c r="G63" s="1293"/>
      <c r="H63" s="1293"/>
      <c r="I63" s="1293"/>
      <c r="J63" s="1293"/>
      <c r="K63" s="1293"/>
      <c r="L63" s="1293"/>
      <c r="M63" s="1296"/>
      <c r="N63" s="1298"/>
      <c r="O63" s="1298"/>
      <c r="P63" s="288"/>
      <c r="Q63" s="1235"/>
      <c r="R63" s="1236"/>
      <c r="S63" s="1235"/>
      <c r="T63" s="1235"/>
      <c r="U63" s="1241"/>
      <c r="V63" s="1244" t="s">
        <v>413</v>
      </c>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S63" s="720"/>
      <c r="AT63" s="720" t="str">
        <f t="shared" si="2"/>
        <v>Добавить централизованную систему для дифференциации</v>
      </c>
      <c r="AU63" s="720"/>
      <c r="AV63" s="720"/>
      <c r="AW63" s="455">
        <v>0</v>
      </c>
    </row>
    <row r="64" spans="1:49" s="2245" customFormat="1" ht="0" hidden="1" customHeight="1">
      <c r="A64" s="1294" t="s">
        <v>174</v>
      </c>
      <c r="B64" s="1294"/>
      <c r="C64" s="1294"/>
      <c r="D64" s="1294"/>
      <c r="E64" s="2507"/>
      <c r="F64" s="1294"/>
      <c r="G64" s="1294"/>
      <c r="H64" s="1294"/>
      <c r="I64" s="1294"/>
      <c r="J64" s="1294"/>
      <c r="K64" s="1294"/>
      <c r="L64" s="1294"/>
      <c r="M64" s="1300"/>
      <c r="N64" s="1298"/>
      <c r="O64" s="1298"/>
      <c r="P64" s="288"/>
      <c r="Q64" s="317"/>
      <c r="R64" s="1263"/>
      <c r="S64" s="317"/>
      <c r="T64" s="317"/>
      <c r="U64" s="1241"/>
      <c r="V64" s="1244" t="s">
        <v>414</v>
      </c>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S64" s="437"/>
      <c r="AT64" s="437" t="str">
        <f t="shared" si="2"/>
        <v>Добавить территорию для дифференциации</v>
      </c>
      <c r="AU64" s="437"/>
      <c r="AV64" s="437"/>
      <c r="AW64" s="448">
        <v>0</v>
      </c>
    </row>
    <row r="65" spans="1:49" s="2245" customFormat="1" ht="4.1500000000000004" customHeight="1">
      <c r="A65" s="1293"/>
      <c r="B65" s="1293"/>
      <c r="C65" s="1293"/>
      <c r="D65" s="1293"/>
      <c r="E65" s="1294"/>
      <c r="F65" s="1293"/>
      <c r="G65" s="1293"/>
      <c r="H65" s="1293"/>
      <c r="I65" s="1293"/>
      <c r="J65" s="1293"/>
      <c r="K65" s="1293"/>
      <c r="L65" s="1293"/>
      <c r="M65" s="1296"/>
      <c r="N65" s="1298"/>
      <c r="O65" s="1298"/>
      <c r="P65" s="288"/>
      <c r="Q65" s="1235"/>
      <c r="R65" s="1236"/>
      <c r="S65" s="1235"/>
      <c r="T65" s="1235"/>
      <c r="U65" s="1241"/>
      <c r="V65" s="1244" t="s">
        <v>446</v>
      </c>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S65" s="720"/>
      <c r="AT65" s="720" t="str">
        <f t="shared" si="2"/>
        <v>Добавить наименование тарифа</v>
      </c>
      <c r="AU65" s="720"/>
      <c r="AV65" s="720"/>
      <c r="AW65" s="455">
        <v>4</v>
      </c>
    </row>
    <row r="66" spans="1:49" ht="11.45" customHeight="1">
      <c r="N66" s="1074"/>
      <c r="O66" s="1074"/>
      <c r="P66" s="446"/>
      <c r="Q66" s="1074"/>
      <c r="R66" s="1074"/>
      <c r="S66" s="1074"/>
      <c r="T66" s="1074"/>
      <c r="U66" s="1074"/>
      <c r="AR66" s="1074"/>
      <c r="AS66" s="1074"/>
      <c r="AT66" s="1074"/>
      <c r="AU66" s="1074"/>
      <c r="AV66" s="1074"/>
      <c r="AW66" s="1074">
        <v>11</v>
      </c>
    </row>
    <row r="67" spans="1:49" ht="35.65" customHeight="1">
      <c r="P67" s="446"/>
      <c r="U67" s="1172"/>
      <c r="V67" s="2503"/>
      <c r="W67" s="2503"/>
      <c r="X67" s="2503"/>
      <c r="Y67" s="2503"/>
      <c r="Z67" s="2503"/>
      <c r="AA67" s="2503"/>
      <c r="AB67" s="2503"/>
      <c r="AC67" s="2503"/>
      <c r="AD67" s="2503"/>
      <c r="AE67" s="2503"/>
      <c r="AF67" s="2503"/>
      <c r="AG67" s="2503"/>
      <c r="AH67" s="2503"/>
      <c r="AI67" s="2503"/>
      <c r="AJ67" s="2503"/>
      <c r="AK67" s="2503"/>
      <c r="AL67" s="2503"/>
      <c r="AM67" s="2503"/>
      <c r="AN67" s="2503"/>
      <c r="AO67" s="2503"/>
      <c r="AP67" s="2503"/>
      <c r="AQ67" s="2503"/>
      <c r="AW67" s="1074">
        <v>34</v>
      </c>
    </row>
    <row r="68" spans="1:49" ht="21" customHeight="1">
      <c r="P68" s="446"/>
      <c r="V68" s="2503"/>
      <c r="W68" s="2503"/>
      <c r="X68" s="2503"/>
      <c r="Y68" s="2503"/>
      <c r="Z68" s="2503"/>
      <c r="AA68" s="2503"/>
      <c r="AB68" s="2503"/>
      <c r="AC68" s="2503"/>
      <c r="AD68" s="2503"/>
      <c r="AE68" s="2503"/>
      <c r="AF68" s="2503"/>
      <c r="AG68" s="2503"/>
      <c r="AH68" s="2503"/>
      <c r="AI68" s="2503"/>
      <c r="AJ68" s="2503"/>
      <c r="AK68" s="2503"/>
      <c r="AL68" s="2503"/>
      <c r="AM68" s="2503"/>
      <c r="AN68" s="2503"/>
      <c r="AO68" s="2503"/>
      <c r="AP68" s="2503"/>
      <c r="AQ68" s="2503"/>
      <c r="AW68" s="1074">
        <v>20</v>
      </c>
    </row>
    <row r="69" spans="1:49" ht="14.65" customHeight="1">
      <c r="P69" s="446"/>
      <c r="AW69" s="1074">
        <v>14</v>
      </c>
    </row>
    <row r="70" spans="1:49" ht="28.5" customHeight="1">
      <c r="P70" s="446"/>
      <c r="V70" s="2503"/>
      <c r="W70" s="2503"/>
      <c r="X70" s="2503"/>
      <c r="Y70" s="2503"/>
      <c r="Z70" s="2503"/>
      <c r="AA70" s="2503"/>
      <c r="AB70" s="2503"/>
      <c r="AC70" s="2503"/>
      <c r="AD70" s="2503"/>
      <c r="AE70" s="2503"/>
      <c r="AF70" s="2503"/>
      <c r="AG70" s="2503"/>
      <c r="AH70" s="2503"/>
      <c r="AI70" s="2503"/>
      <c r="AJ70" s="2503"/>
      <c r="AK70" s="2503"/>
      <c r="AL70" s="2503"/>
      <c r="AM70" s="2503"/>
      <c r="AN70" s="2503"/>
      <c r="AO70" s="2503"/>
      <c r="AP70" s="2503"/>
      <c r="AQ70" s="2503"/>
      <c r="AW70" s="1074">
        <v>27</v>
      </c>
    </row>
    <row r="71" spans="1:49" ht="18.75" customHeight="1">
      <c r="P71" s="446"/>
      <c r="V71" s="2503"/>
      <c r="W71" s="2503"/>
      <c r="X71" s="2503"/>
      <c r="Y71" s="2503"/>
      <c r="Z71" s="2503"/>
      <c r="AA71" s="2503"/>
      <c r="AB71" s="2503"/>
      <c r="AC71" s="2503"/>
      <c r="AD71" s="2503"/>
      <c r="AE71" s="2503"/>
      <c r="AF71" s="2503"/>
      <c r="AG71" s="2503"/>
      <c r="AH71" s="2503"/>
      <c r="AI71" s="2503"/>
      <c r="AJ71" s="2503"/>
      <c r="AK71" s="2503"/>
      <c r="AL71" s="2503"/>
      <c r="AM71" s="2503"/>
      <c r="AN71" s="2503"/>
      <c r="AO71" s="2503"/>
      <c r="AP71" s="2503"/>
      <c r="AQ71" s="2503"/>
      <c r="AW71" s="1074">
        <v>18</v>
      </c>
    </row>
    <row r="72" spans="1:49" ht="22.5" hidden="1" customHeight="1">
      <c r="A72" s="1074" t="s">
        <v>81</v>
      </c>
      <c r="B72" s="1074">
        <v>0</v>
      </c>
      <c r="C72" s="1074">
        <v>0</v>
      </c>
      <c r="D72" s="1074">
        <v>0</v>
      </c>
      <c r="E72" s="1074">
        <v>0</v>
      </c>
      <c r="F72" s="1074">
        <v>0</v>
      </c>
      <c r="G72" s="1074">
        <v>0</v>
      </c>
      <c r="H72" s="1074">
        <v>0</v>
      </c>
      <c r="I72" s="1074">
        <v>0</v>
      </c>
      <c r="J72" s="1074">
        <v>0</v>
      </c>
      <c r="K72" s="1074">
        <v>0</v>
      </c>
      <c r="L72" s="1074">
        <v>0</v>
      </c>
      <c r="M72" s="1246">
        <v>0</v>
      </c>
      <c r="N72" s="1247">
        <v>0</v>
      </c>
      <c r="O72" s="1247">
        <v>0</v>
      </c>
      <c r="P72" s="1247">
        <v>0</v>
      </c>
      <c r="Q72" s="1247">
        <v>0</v>
      </c>
      <c r="R72" s="281">
        <v>3</v>
      </c>
      <c r="S72" s="281">
        <v>3</v>
      </c>
      <c r="T72" s="281">
        <v>3</v>
      </c>
      <c r="U72" s="518">
        <v>12</v>
      </c>
      <c r="V72" s="1074">
        <v>31</v>
      </c>
      <c r="W72" s="1074">
        <v>0</v>
      </c>
      <c r="X72" s="1074">
        <v>0</v>
      </c>
      <c r="Y72" s="1074">
        <v>0</v>
      </c>
      <c r="Z72" s="1074">
        <v>0</v>
      </c>
      <c r="AA72" s="1074">
        <v>0</v>
      </c>
      <c r="AB72" s="1074">
        <v>0</v>
      </c>
      <c r="AC72" s="1074">
        <v>0</v>
      </c>
      <c r="AD72" s="1074">
        <v>0</v>
      </c>
      <c r="AE72" s="1074">
        <v>0</v>
      </c>
      <c r="AF72" s="1074">
        <v>0</v>
      </c>
      <c r="AG72" s="1074">
        <v>21</v>
      </c>
      <c r="AH72" s="1074">
        <v>21</v>
      </c>
      <c r="AI72" s="1074">
        <v>21</v>
      </c>
      <c r="AJ72" s="1074">
        <v>21</v>
      </c>
      <c r="AK72" s="1074">
        <v>21</v>
      </c>
      <c r="AL72" s="1074">
        <v>11</v>
      </c>
      <c r="AM72" s="1074">
        <v>3</v>
      </c>
      <c r="AN72" s="1074">
        <v>11</v>
      </c>
      <c r="AO72" s="1074">
        <v>8</v>
      </c>
      <c r="AP72" s="1074">
        <v>4</v>
      </c>
      <c r="AQ72" s="1074">
        <v>115</v>
      </c>
      <c r="AR72" s="448">
        <v>10</v>
      </c>
      <c r="AS72" s="448">
        <v>10</v>
      </c>
      <c r="AT72" s="448">
        <v>10</v>
      </c>
      <c r="AU72" s="448">
        <v>10</v>
      </c>
      <c r="AV72" s="448">
        <v>10</v>
      </c>
      <c r="AW72" s="1074">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71" sqref="F71"/>
    </sheetView>
  </sheetViews>
  <sheetFormatPr defaultColWidth="9.140625" defaultRowHeight="11.25" customHeight="1"/>
  <cols>
    <col min="1" max="1" width="10.7109375" style="2239" hidden="1" customWidth="1"/>
    <col min="2" max="2" width="10.7109375" style="2240" hidden="1" customWidth="1"/>
    <col min="3" max="3" width="3" style="2241" customWidth="1"/>
    <col min="4" max="4" width="1" style="2238" customWidth="1"/>
    <col min="5" max="6" width="55" style="2238" customWidth="1"/>
    <col min="7" max="7" width="1" style="2242" customWidth="1"/>
    <col min="8" max="8" width="18" style="2238" hidden="1" customWidth="1"/>
    <col min="9" max="9" width="59" style="2243" customWidth="1"/>
    <col min="10" max="10" width="52.140625" style="2244" hidden="1" customWidth="1"/>
    <col min="11" max="11" width="8" style="2238" customWidth="1"/>
    <col min="12" max="12" width="77" style="2238" customWidth="1"/>
    <col min="13" max="16" width="8" style="2238" customWidth="1"/>
    <col min="17" max="17" width="12" style="2238" hidden="1" customWidth="1"/>
  </cols>
  <sheetData>
    <row r="1" spans="1:17" s="2235" customFormat="1" ht="3" customHeight="1">
      <c r="A1" s="714"/>
      <c r="B1" s="178"/>
      <c r="F1" s="179" t="s">
        <v>13</v>
      </c>
      <c r="G1" s="348"/>
      <c r="H1" s="11"/>
      <c r="I1" s="348"/>
      <c r="J1" s="798"/>
      <c r="Q1" s="179" t="s">
        <v>14</v>
      </c>
    </row>
    <row r="2" spans="1:17" s="2236" customFormat="1" ht="14.25" customHeight="1">
      <c r="A2" s="714"/>
      <c r="B2" s="38"/>
      <c r="E2" s="1658" t="str">
        <f>code</f>
        <v>Код отчёта: PP108.OPEN.INFO.BALANCE.VOTV.EIAS</v>
      </c>
      <c r="F2" s="206"/>
      <c r="G2" s="182"/>
      <c r="H2" s="182"/>
      <c r="I2" s="182"/>
      <c r="J2" s="799"/>
      <c r="K2" s="182"/>
      <c r="Q2" s="11">
        <v>14</v>
      </c>
    </row>
    <row r="3" spans="1:17" ht="14.65" customHeight="1">
      <c r="E3" s="183" t="str">
        <f>version</f>
        <v>Версия отчёта: 1.1.3</v>
      </c>
      <c r="F3" s="206"/>
      <c r="G3" s="702"/>
      <c r="H3" s="702"/>
      <c r="I3" s="702"/>
      <c r="J3" s="800"/>
      <c r="K3" s="28"/>
      <c r="Q3" s="14">
        <v>14</v>
      </c>
    </row>
    <row r="4" spans="1:17" s="2237" customFormat="1" ht="6.4" customHeight="1">
      <c r="A4" s="715"/>
      <c r="B4" s="169"/>
      <c r="C4" s="170"/>
      <c r="D4" s="171"/>
      <c r="E4" s="180"/>
      <c r="F4" s="181"/>
      <c r="G4" s="703"/>
      <c r="H4" s="346"/>
      <c r="I4" s="348"/>
      <c r="J4" s="801"/>
      <c r="Q4" s="173">
        <v>6</v>
      </c>
    </row>
    <row r="5" spans="1:17" ht="39.75" customHeight="1">
      <c r="D5" s="15"/>
      <c r="E5" s="2334"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335"/>
      <c r="G5" s="704"/>
      <c r="J5" s="802"/>
      <c r="Q5" s="14">
        <v>38</v>
      </c>
    </row>
    <row r="6" spans="1:17" s="2237" customFormat="1" ht="6.4" customHeight="1">
      <c r="A6" s="715"/>
      <c r="B6" s="169"/>
      <c r="C6" s="170"/>
      <c r="D6" s="171"/>
      <c r="E6" s="174"/>
      <c r="F6" s="175"/>
      <c r="G6" s="704"/>
      <c r="H6" s="346"/>
      <c r="I6" s="348"/>
      <c r="J6" s="801"/>
      <c r="Q6" s="173">
        <v>6</v>
      </c>
    </row>
    <row r="7" spans="1:17" ht="21" customHeight="1">
      <c r="D7" s="15"/>
      <c r="E7" s="328" t="s">
        <v>15</v>
      </c>
      <c r="F7" s="152" t="s">
        <v>16</v>
      </c>
      <c r="G7" s="704"/>
      <c r="Q7" s="14">
        <v>20</v>
      </c>
    </row>
    <row r="8" spans="1:17" s="2237" customFormat="1" ht="6.4" customHeight="1">
      <c r="A8" s="716"/>
      <c r="B8" s="169"/>
      <c r="C8" s="170"/>
      <c r="D8" s="176"/>
      <c r="E8" s="174"/>
      <c r="F8" s="177"/>
      <c r="G8" s="17"/>
      <c r="H8" s="346"/>
      <c r="I8" s="348"/>
      <c r="J8" s="804"/>
      <c r="Q8" s="173">
        <v>6</v>
      </c>
    </row>
    <row r="9" spans="1:17" s="2238" customFormat="1" ht="19.5" hidden="1" customHeight="1">
      <c r="A9" s="715"/>
      <c r="B9" s="38"/>
      <c r="C9" s="345"/>
      <c r="D9" s="347"/>
      <c r="E9" s="1084" t="s">
        <v>17</v>
      </c>
      <c r="F9" s="1837"/>
      <c r="G9" s="704"/>
      <c r="I9" s="1816" t="str">
        <f>IF(TITLE_STRUCTURE_INFO_ROIV="","","раскрывается "&amp;INDEX(ROIV_INFO_COMMENT,MATCH(TITLE_STRUCTURE_INFO_ROIV,ROIV_INFO_LIST,0)))</f>
        <v/>
      </c>
      <c r="J9" s="803"/>
      <c r="Q9" s="346">
        <v>0</v>
      </c>
    </row>
    <row r="10" spans="1:17" s="2237" customFormat="1" ht="24" hidden="1" customHeight="1">
      <c r="A10" s="716"/>
      <c r="B10" s="363"/>
      <c r="C10" s="364"/>
      <c r="D10" s="176"/>
      <c r="E10" s="1084" t="s">
        <v>18</v>
      </c>
      <c r="F10" s="1979" t="s">
        <v>19</v>
      </c>
      <c r="G10" s="17"/>
      <c r="H10" s="346"/>
      <c r="I10" s="348"/>
      <c r="J10" s="804"/>
      <c r="Q10" s="367">
        <v>24</v>
      </c>
    </row>
    <row r="11" spans="1:17" ht="22.5" hidden="1" customHeight="1">
      <c r="A11" s="2337" t="s">
        <v>20</v>
      </c>
      <c r="D11" s="15"/>
      <c r="E11" s="1084" t="s">
        <v>21</v>
      </c>
      <c r="F11" s="1650" t="s">
        <v>22</v>
      </c>
      <c r="G11" s="17"/>
      <c r="H11" s="705" t="s">
        <v>23</v>
      </c>
      <c r="J11" s="803" t="s">
        <v>24</v>
      </c>
      <c r="Q11" s="14">
        <v>0</v>
      </c>
    </row>
    <row r="12" spans="1:17" ht="22.5" hidden="1" customHeight="1">
      <c r="A12" s="2337"/>
      <c r="D12" s="15"/>
      <c r="E12" s="1084" t="s">
        <v>25</v>
      </c>
      <c r="F12" s="1650"/>
      <c r="G12" s="13"/>
      <c r="J12" s="803" t="s">
        <v>26</v>
      </c>
      <c r="Q12" s="14">
        <v>0</v>
      </c>
    </row>
    <row r="13" spans="1:17" s="2238" customFormat="1" ht="22.5" hidden="1" customHeight="1">
      <c r="A13" s="719" t="s">
        <v>27</v>
      </c>
      <c r="B13" s="38"/>
      <c r="C13" s="345"/>
      <c r="D13" s="347"/>
      <c r="E13" s="1693" t="s">
        <v>28</v>
      </c>
      <c r="F13" s="1650" t="s">
        <v>22</v>
      </c>
      <c r="G13" s="17"/>
      <c r="H13" s="702"/>
      <c r="I13" s="348"/>
      <c r="J13" s="1694" t="s">
        <v>29</v>
      </c>
      <c r="Q13" s="346">
        <v>0</v>
      </c>
    </row>
    <row r="14" spans="1:17" s="2238" customFormat="1" ht="27" customHeight="1">
      <c r="A14" s="719" t="s">
        <v>30</v>
      </c>
      <c r="B14" s="38"/>
      <c r="C14" s="345"/>
      <c r="D14" s="347"/>
      <c r="E14" s="1084" t="s">
        <v>31</v>
      </c>
      <c r="F14" s="2002">
        <v>2023</v>
      </c>
      <c r="G14" s="17"/>
      <c r="H14" s="702"/>
      <c r="I14" s="348"/>
      <c r="J14" s="803" t="s">
        <v>32</v>
      </c>
      <c r="Q14" s="346">
        <v>0</v>
      </c>
    </row>
    <row r="15" spans="1:17" s="2238" customFormat="1" ht="19.5" hidden="1" customHeight="1">
      <c r="A15" s="719" t="s">
        <v>33</v>
      </c>
      <c r="B15" s="38"/>
      <c r="C15" s="345"/>
      <c r="D15" s="347"/>
      <c r="E15" s="1084" t="s">
        <v>34</v>
      </c>
      <c r="F15" s="1685"/>
      <c r="G15" s="17"/>
      <c r="H15" s="702"/>
      <c r="I15" s="348"/>
      <c r="J15" s="803" t="s">
        <v>35</v>
      </c>
      <c r="Q15" s="346">
        <v>0</v>
      </c>
    </row>
    <row r="16" spans="1:17" s="2237" customFormat="1" ht="6.4" customHeight="1">
      <c r="A16" s="716"/>
      <c r="B16" s="169"/>
      <c r="C16" s="170"/>
      <c r="D16" s="176"/>
      <c r="E16" s="174"/>
      <c r="F16" s="177"/>
      <c r="G16" s="17"/>
      <c r="H16" s="346"/>
      <c r="I16" s="348"/>
      <c r="J16" s="801"/>
      <c r="Q16" s="173">
        <v>6</v>
      </c>
    </row>
    <row r="17" spans="1:17" ht="21" customHeight="1">
      <c r="D17" s="15"/>
      <c r="E17" s="328" t="s">
        <v>36</v>
      </c>
      <c r="F17" s="153" t="s">
        <v>37</v>
      </c>
      <c r="G17" s="13"/>
      <c r="H17" s="705" t="s">
        <v>23</v>
      </c>
      <c r="Q17" s="14">
        <v>20</v>
      </c>
    </row>
    <row r="18" spans="1:17" ht="25.5" hidden="1" customHeight="1">
      <c r="D18" s="15"/>
      <c r="E18" s="1693" t="s">
        <v>38</v>
      </c>
      <c r="F18" s="1651"/>
      <c r="G18" s="13"/>
      <c r="I18" s="706"/>
      <c r="J18" s="2336" t="s">
        <v>39</v>
      </c>
      <c r="Q18" s="14">
        <v>0</v>
      </c>
    </row>
    <row r="19" spans="1:17" ht="25.5" hidden="1" customHeight="1">
      <c r="D19" s="15"/>
      <c r="E19" s="1084"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1"/>
      <c r="G19" s="13"/>
      <c r="I19" s="706"/>
      <c r="J19" s="2336"/>
      <c r="Q19" s="14">
        <v>0</v>
      </c>
    </row>
    <row r="20" spans="1:17" ht="22.5" hidden="1" customHeight="1">
      <c r="D20" s="15"/>
      <c r="E20" s="16"/>
      <c r="F20" s="207" t="str">
        <f>"Первичное "&amp;IF(TEMPLATE_GROUP="P","установление тарифов","предложение по тарифам")</f>
        <v>Первичное предложение по тарифам</v>
      </c>
      <c r="G20" s="13"/>
      <c r="I20" s="331"/>
      <c r="J20" s="802" t="s">
        <v>40</v>
      </c>
      <c r="Q20" s="14">
        <v>0</v>
      </c>
    </row>
    <row r="21" spans="1:17" ht="19.5" hidden="1" customHeight="1">
      <c r="D21" s="15"/>
      <c r="E21" s="328" t="str">
        <f>"Дата "&amp;IF(TEMPLATE_GROUP="P","документа","подачи заявления")&amp;" об утверждении тарифов"</f>
        <v>Дата подачи заявления об утверждении тарифов</v>
      </c>
      <c r="F21" s="1650"/>
      <c r="G21" s="13"/>
      <c r="I21" s="707"/>
      <c r="Q21" s="14">
        <v>0</v>
      </c>
    </row>
    <row r="22" spans="1:17" ht="19.5" hidden="1" customHeight="1">
      <c r="D22" s="15"/>
      <c r="E22" s="328" t="str">
        <f>"Номер "&amp;IF(TEMPLATE_GROUP="P","документа","подачи заявления")&amp;" об утверждении тарифов"</f>
        <v>Номер подачи заявления об утверждении тарифов</v>
      </c>
      <c r="F22" s="153"/>
      <c r="G22" s="13"/>
      <c r="I22" s="707"/>
      <c r="Q22" s="14">
        <v>0</v>
      </c>
    </row>
    <row r="23" spans="1:17" ht="22.5" hidden="1" customHeight="1">
      <c r="D23" s="15"/>
      <c r="E23" s="328" t="s">
        <v>41</v>
      </c>
      <c r="F23" s="153"/>
      <c r="G23" s="13"/>
      <c r="Q23" s="14">
        <v>0</v>
      </c>
    </row>
    <row r="24" spans="1:17" ht="19.5" hidden="1" customHeight="1">
      <c r="D24" s="15"/>
      <c r="E24" s="328" t="s">
        <v>42</v>
      </c>
      <c r="F24" s="153"/>
      <c r="G24" s="13"/>
      <c r="Q24" s="14">
        <v>0</v>
      </c>
    </row>
    <row r="25" spans="1:17" ht="22.5" hidden="1" customHeight="1">
      <c r="D25" s="15"/>
      <c r="E25" s="16"/>
      <c r="F25" s="207" t="str">
        <f>"Изменение "&amp;IF(TEMPLATE_GROUP="P","тарифов","предложения по тарифам")</f>
        <v>Изменение предложения по тарифам</v>
      </c>
      <c r="G25" s="13"/>
      <c r="J25" s="802" t="s">
        <v>43</v>
      </c>
      <c r="Q25" s="14">
        <v>0</v>
      </c>
    </row>
    <row r="26" spans="1:17" ht="19.5" hidden="1" customHeight="1">
      <c r="D26" s="15"/>
      <c r="E26" s="328" t="str">
        <f>"Дата "&amp;IF(TEMPLATE_GROUP="P","принятия решения","подачи заявления")&amp;" об изменении тарифов"</f>
        <v>Дата подачи заявления об изменении тарифов</v>
      </c>
      <c r="F26" s="1651"/>
      <c r="G26" s="13"/>
      <c r="Q26" s="14">
        <v>0</v>
      </c>
    </row>
    <row r="27" spans="1:17" ht="19.5" hidden="1" customHeight="1">
      <c r="D27" s="15"/>
      <c r="E27" s="1084" t="str">
        <f>"Номер "&amp;IF(TEMPLATE_GROUP="P","принятия решения","заявления")&amp;" об изменении тарифов"</f>
        <v>Номер заявления об изменении тарифов</v>
      </c>
      <c r="F27" s="155"/>
      <c r="G27" s="13"/>
      <c r="Q27" s="14">
        <v>0</v>
      </c>
    </row>
    <row r="28" spans="1:17" ht="24.75" hidden="1" customHeight="1">
      <c r="D28" s="15"/>
      <c r="E28" s="328" t="s">
        <v>44</v>
      </c>
      <c r="F28" s="155"/>
      <c r="G28" s="13"/>
      <c r="Q28" s="14">
        <v>0</v>
      </c>
    </row>
    <row r="29" spans="1:17" ht="19.5" hidden="1" customHeight="1">
      <c r="D29" s="15"/>
      <c r="E29" s="328" t="s">
        <v>42</v>
      </c>
      <c r="F29" s="155"/>
      <c r="G29" s="13"/>
      <c r="Q29" s="14">
        <v>0</v>
      </c>
    </row>
    <row r="30" spans="1:17" s="2237" customFormat="1" ht="6.4" customHeight="1">
      <c r="A30" s="716"/>
      <c r="B30" s="169"/>
      <c r="C30" s="170"/>
      <c r="D30" s="176"/>
      <c r="E30" s="174"/>
      <c r="F30" s="177"/>
      <c r="G30" s="17"/>
      <c r="H30" s="346"/>
      <c r="I30" s="348"/>
      <c r="J30" s="801"/>
      <c r="Q30" s="173">
        <v>6</v>
      </c>
    </row>
    <row r="31" spans="1:17" ht="21" customHeight="1">
      <c r="C31" s="18"/>
      <c r="D31" s="19"/>
      <c r="E31" s="328" t="str">
        <f>"Наименование "&amp;IF(TEMPLATE_GROUP="ROIV","органа тарифного регулирования","ЮЛ / ИП")</f>
        <v>Наименование ЮЛ / ИП</v>
      </c>
      <c r="F31" s="154" t="s">
        <v>45</v>
      </c>
      <c r="G31" s="708"/>
      <c r="Q31" s="14">
        <v>20</v>
      </c>
    </row>
    <row r="32" spans="1:17" ht="21" hidden="1" customHeight="1">
      <c r="C32" s="18"/>
      <c r="D32" s="19"/>
      <c r="E32" s="329" t="s">
        <v>46</v>
      </c>
      <c r="F32" s="154"/>
      <c r="G32" s="708"/>
      <c r="Q32" s="14">
        <v>20</v>
      </c>
    </row>
    <row r="33" spans="1:17" ht="21" customHeight="1">
      <c r="C33" s="18"/>
      <c r="D33" s="19"/>
      <c r="E33" s="328" t="s">
        <v>47</v>
      </c>
      <c r="F33" s="154" t="s">
        <v>48</v>
      </c>
      <c r="G33" s="708"/>
      <c r="Q33" s="14">
        <v>20</v>
      </c>
    </row>
    <row r="34" spans="1:17" ht="21" customHeight="1">
      <c r="C34" s="18"/>
      <c r="D34" s="19"/>
      <c r="E34" s="328" t="s">
        <v>49</v>
      </c>
      <c r="F34" s="154" t="s">
        <v>50</v>
      </c>
      <c r="G34" s="708"/>
      <c r="H34" s="20"/>
      <c r="Q34" s="14">
        <v>20</v>
      </c>
    </row>
    <row r="35" spans="1:17" s="2237" customFormat="1" ht="11.45" customHeight="1">
      <c r="A35" s="716"/>
      <c r="B35" s="169"/>
      <c r="C35" s="170"/>
      <c r="D35" s="176"/>
      <c r="E35" s="174"/>
      <c r="F35" s="177"/>
      <c r="G35" s="17"/>
      <c r="H35" s="346"/>
      <c r="I35" s="348"/>
      <c r="J35" s="801"/>
      <c r="Q35" s="173">
        <v>11</v>
      </c>
    </row>
    <row r="36" spans="1:17" ht="19.5" hidden="1" customHeight="1">
      <c r="A36" s="806"/>
      <c r="D36" s="19"/>
      <c r="E36" s="328" t="s">
        <v>51</v>
      </c>
      <c r="F36" s="285"/>
      <c r="G36" s="17"/>
      <c r="Q36" s="14">
        <v>0</v>
      </c>
    </row>
    <row r="37" spans="1:17" ht="21" customHeight="1">
      <c r="A37" s="806"/>
      <c r="D37" s="19"/>
      <c r="E37" s="328" t="s">
        <v>52</v>
      </c>
      <c r="F37" s="2003" t="s">
        <v>53</v>
      </c>
      <c r="G37" s="17"/>
      <c r="Q37" s="14">
        <v>20</v>
      </c>
    </row>
    <row r="38" spans="1:17" s="2237" customFormat="1" ht="6.4" customHeight="1">
      <c r="A38" s="716"/>
      <c r="B38" s="169"/>
      <c r="C38" s="170"/>
      <c r="D38" s="171"/>
      <c r="E38" s="172"/>
      <c r="F38" s="977"/>
      <c r="G38" s="13"/>
      <c r="H38" s="346"/>
      <c r="I38" s="348"/>
      <c r="J38" s="803"/>
      <c r="Q38" s="173">
        <v>6</v>
      </c>
    </row>
    <row r="39" spans="1:17" ht="36.75" customHeight="1">
      <c r="A39" s="716"/>
      <c r="D39" s="15"/>
      <c r="E39" s="328" t="s">
        <v>54</v>
      </c>
      <c r="F39" s="647" t="s">
        <v>19</v>
      </c>
      <c r="G39" s="13"/>
      <c r="H39" s="705" t="s">
        <v>23</v>
      </c>
      <c r="Q39" s="14">
        <v>35</v>
      </c>
    </row>
    <row r="40" spans="1:17" s="2237" customFormat="1" ht="6" hidden="1" customHeight="1">
      <c r="A40" s="715"/>
      <c r="B40" s="363"/>
      <c r="C40" s="364"/>
      <c r="D40" s="365"/>
      <c r="E40" s="366"/>
      <c r="F40" s="977"/>
      <c r="G40" s="13"/>
      <c r="H40" s="346"/>
      <c r="I40" s="348"/>
      <c r="J40" s="803"/>
      <c r="Q40" s="367">
        <v>6</v>
      </c>
    </row>
    <row r="41" spans="1:17" s="2238"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47" t="s">
        <v>19</v>
      </c>
      <c r="G41" s="13"/>
      <c r="I41" s="348"/>
      <c r="J41" s="803"/>
      <c r="Q41" s="346">
        <v>0</v>
      </c>
    </row>
    <row r="42" spans="1:17" s="2237" customFormat="1" ht="6" hidden="1" customHeight="1">
      <c r="A42" s="715"/>
      <c r="B42" s="363"/>
      <c r="C42" s="364"/>
      <c r="D42" s="365"/>
      <c r="E42" s="366"/>
      <c r="F42" s="977"/>
      <c r="G42" s="13"/>
      <c r="H42" s="346"/>
      <c r="I42" s="348"/>
      <c r="J42" s="801"/>
      <c r="Q42" s="367">
        <v>0</v>
      </c>
    </row>
    <row r="43" spans="1:17" s="2238" customFormat="1" ht="27" hidden="1" customHeight="1">
      <c r="A43" s="715"/>
      <c r="B43" s="350"/>
      <c r="C43" s="345"/>
      <c r="D43" s="347"/>
      <c r="E43" s="328" t="s">
        <v>55</v>
      </c>
      <c r="F43" s="647" t="s">
        <v>19</v>
      </c>
      <c r="G43" s="13"/>
      <c r="I43" s="348"/>
      <c r="J43" s="803"/>
      <c r="Q43" s="346">
        <v>0</v>
      </c>
    </row>
    <row r="44" spans="1:17" s="2238" customFormat="1" ht="27" hidden="1" customHeight="1">
      <c r="A44" s="715"/>
      <c r="B44" s="350"/>
      <c r="C44" s="345"/>
      <c r="D44" s="347"/>
      <c r="E44" s="1084" t="s">
        <v>56</v>
      </c>
      <c r="F44" s="1804"/>
      <c r="G44" s="13"/>
      <c r="I44" s="348"/>
      <c r="J44" s="803"/>
      <c r="Q44" s="346">
        <v>0</v>
      </c>
    </row>
    <row r="45" spans="1:17" s="2237" customFormat="1" ht="6" hidden="1" customHeight="1">
      <c r="A45" s="715"/>
      <c r="B45" s="363"/>
      <c r="C45" s="364"/>
      <c r="D45" s="365"/>
      <c r="E45" s="366"/>
      <c r="F45" s="977"/>
      <c r="G45" s="13"/>
      <c r="H45" s="346"/>
      <c r="I45" s="348"/>
      <c r="J45" s="803"/>
      <c r="Q45" s="367">
        <v>0</v>
      </c>
    </row>
    <row r="46" spans="1:17" s="2237" customFormat="1" ht="24.75" hidden="1" customHeight="1">
      <c r="A46" s="715"/>
      <c r="B46" s="363"/>
      <c r="C46" s="364"/>
      <c r="D46" s="365"/>
      <c r="E46" s="1084" t="s">
        <v>57</v>
      </c>
      <c r="F46" s="647" t="s">
        <v>19</v>
      </c>
      <c r="G46" s="13"/>
      <c r="H46" s="346"/>
      <c r="I46" s="348"/>
      <c r="J46" s="803"/>
      <c r="Q46" s="367">
        <v>0</v>
      </c>
    </row>
    <row r="47" spans="1:17" s="2238" customFormat="1" ht="24.75" hidden="1" customHeight="1">
      <c r="A47" s="715"/>
      <c r="B47" s="350"/>
      <c r="C47" s="345"/>
      <c r="D47" s="347"/>
      <c r="E47" s="1084" t="s">
        <v>58</v>
      </c>
      <c r="F47" s="647" t="s">
        <v>19</v>
      </c>
      <c r="G47" s="13"/>
      <c r="I47" s="348"/>
      <c r="J47" s="803"/>
      <c r="Q47" s="346">
        <v>0</v>
      </c>
    </row>
    <row r="48" spans="1:17" s="2237" customFormat="1" ht="6" hidden="1" customHeight="1">
      <c r="A48" s="715"/>
      <c r="B48" s="169"/>
      <c r="C48" s="170"/>
      <c r="D48" s="171"/>
      <c r="E48" s="172"/>
      <c r="F48" s="977"/>
      <c r="G48" s="13"/>
      <c r="H48" s="346"/>
      <c r="I48" s="348"/>
      <c r="J48" s="803"/>
      <c r="Q48" s="173">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47"/>
      <c r="G49" s="13"/>
      <c r="Q49" s="14">
        <v>0</v>
      </c>
    </row>
    <row r="50" spans="1:17" s="2237" customFormat="1" ht="6" customHeight="1">
      <c r="A50" s="716"/>
      <c r="B50" s="363"/>
      <c r="C50" s="364"/>
      <c r="D50" s="176"/>
      <c r="E50" s="174"/>
      <c r="F50" s="177"/>
      <c r="G50" s="17"/>
      <c r="H50" s="346"/>
      <c r="I50" s="348"/>
      <c r="J50" s="803"/>
      <c r="Q50" s="367">
        <v>0</v>
      </c>
    </row>
    <row r="51" spans="1:17" s="2238" customFormat="1" ht="28.5" customHeight="1">
      <c r="A51" s="717"/>
      <c r="B51" s="350"/>
      <c r="C51" s="467"/>
      <c r="D51" s="468"/>
      <c r="E51" s="328" t="s">
        <v>59</v>
      </c>
      <c r="F51" s="647" t="s">
        <v>19</v>
      </c>
      <c r="G51" s="469"/>
      <c r="I51" s="471"/>
      <c r="J51" s="805"/>
      <c r="P51" s="472"/>
      <c r="Q51" s="470">
        <v>0</v>
      </c>
    </row>
    <row r="52" spans="1:17" s="2237" customFormat="1" ht="6" customHeight="1">
      <c r="A52" s="716"/>
      <c r="B52" s="363"/>
      <c r="C52" s="364"/>
      <c r="D52" s="176"/>
      <c r="E52" s="174"/>
      <c r="F52" s="177"/>
      <c r="G52" s="17"/>
      <c r="H52" s="346"/>
      <c r="I52" s="348"/>
      <c r="J52" s="801"/>
      <c r="Q52" s="367">
        <v>0</v>
      </c>
    </row>
    <row r="53" spans="1:17" s="2238" customFormat="1" ht="27" customHeight="1">
      <c r="A53" s="717"/>
      <c r="B53" s="350"/>
      <c r="C53" s="467"/>
      <c r="D53" s="468"/>
      <c r="E53" s="328" t="s">
        <v>60</v>
      </c>
      <c r="F53" s="972" t="s">
        <v>19</v>
      </c>
      <c r="G53" s="469"/>
      <c r="I53" s="471"/>
      <c r="J53" s="805"/>
      <c r="P53" s="472"/>
      <c r="Q53" s="470">
        <v>0</v>
      </c>
    </row>
    <row r="54" spans="1:17" s="2238" customFormat="1" ht="27" hidden="1" customHeight="1">
      <c r="A54" s="717"/>
      <c r="B54" s="350"/>
      <c r="C54" s="467"/>
      <c r="D54" s="468"/>
      <c r="E54" s="328" t="s">
        <v>61</v>
      </c>
      <c r="F54" s="1692"/>
      <c r="G54" s="469"/>
      <c r="I54" s="471"/>
      <c r="J54" s="805"/>
      <c r="P54" s="472"/>
      <c r="Q54" s="470">
        <v>0</v>
      </c>
    </row>
    <row r="55" spans="1:17" s="2237" customFormat="1" ht="6" customHeight="1">
      <c r="A55" s="716"/>
      <c r="B55" s="363"/>
      <c r="C55" s="364"/>
      <c r="D55" s="176"/>
      <c r="E55" s="174"/>
      <c r="F55" s="177"/>
      <c r="G55" s="17"/>
      <c r="H55" s="346"/>
      <c r="I55" s="348"/>
      <c r="J55" s="801"/>
      <c r="Q55" s="367">
        <v>0</v>
      </c>
    </row>
    <row r="56" spans="1:17" s="2238" customFormat="1" ht="25.5" customHeight="1">
      <c r="A56" s="717"/>
      <c r="B56" s="350"/>
      <c r="C56" s="467"/>
      <c r="D56" s="468"/>
      <c r="E56" s="328" t="s">
        <v>62</v>
      </c>
      <c r="F56" s="972" t="s">
        <v>19</v>
      </c>
      <c r="G56" s="469"/>
      <c r="I56" s="471"/>
      <c r="J56" s="805"/>
      <c r="P56" s="472"/>
      <c r="Q56" s="470">
        <v>0</v>
      </c>
    </row>
    <row r="57" spans="1:17" s="2237" customFormat="1" ht="6" customHeight="1">
      <c r="A57" s="716"/>
      <c r="B57" s="363"/>
      <c r="C57" s="364"/>
      <c r="D57" s="176"/>
      <c r="E57" s="174"/>
      <c r="F57" s="177"/>
      <c r="G57" s="17"/>
      <c r="H57" s="346"/>
      <c r="I57" s="348"/>
      <c r="J57" s="801"/>
      <c r="Q57" s="367">
        <v>0</v>
      </c>
    </row>
    <row r="58" spans="1:17" s="2238" customFormat="1" ht="15" customHeight="1">
      <c r="A58" s="717"/>
      <c r="B58" s="350"/>
      <c r="C58" s="467"/>
      <c r="D58" s="468"/>
      <c r="E58" s="328" t="s">
        <v>63</v>
      </c>
      <c r="F58" s="972" t="s">
        <v>64</v>
      </c>
      <c r="G58" s="469"/>
      <c r="I58" s="471"/>
      <c r="J58" s="805"/>
      <c r="P58" s="472"/>
      <c r="Q58" s="470">
        <v>0</v>
      </c>
    </row>
    <row r="59" spans="1:17" s="2238" customFormat="1" ht="75"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08" t="s">
        <v>64</v>
      </c>
      <c r="G59" s="469"/>
      <c r="I59" s="471"/>
      <c r="J59" s="805"/>
      <c r="P59" s="472"/>
      <c r="Q59" s="470">
        <v>0</v>
      </c>
    </row>
    <row r="60" spans="1:17" s="2238" customFormat="1" ht="15" customHeight="1">
      <c r="A60" s="717"/>
      <c r="B60" s="350"/>
      <c r="C60" s="467"/>
      <c r="D60" s="468"/>
      <c r="E60" s="1084" t="s">
        <v>65</v>
      </c>
      <c r="F60" s="2003" t="s">
        <v>66</v>
      </c>
      <c r="G60" s="469"/>
      <c r="I60" s="471"/>
      <c r="J60" s="805"/>
      <c r="P60" s="472"/>
      <c r="Q60" s="470">
        <v>0</v>
      </c>
    </row>
    <row r="61" spans="1:17" s="2237" customFormat="1" ht="6" hidden="1" customHeight="1">
      <c r="A61" s="716"/>
      <c r="B61" s="363"/>
      <c r="C61" s="364"/>
      <c r="D61" s="365"/>
      <c r="E61" s="366"/>
      <c r="F61" s="977"/>
      <c r="G61" s="13"/>
      <c r="H61" s="346"/>
      <c r="I61" s="348"/>
      <c r="J61" s="803"/>
      <c r="Q61" s="367">
        <v>0</v>
      </c>
    </row>
    <row r="62" spans="1:17" s="2238" customFormat="1" ht="33.75" hidden="1" customHeight="1">
      <c r="A62" s="716"/>
      <c r="B62" s="38"/>
      <c r="C62" s="345"/>
      <c r="D62" s="347"/>
      <c r="E62" s="1084" t="s">
        <v>67</v>
      </c>
      <c r="F62" s="1590" t="s">
        <v>64</v>
      </c>
      <c r="G62" s="13"/>
      <c r="H62" s="705" t="s">
        <v>23</v>
      </c>
      <c r="I62" s="348"/>
      <c r="J62" s="803"/>
      <c r="Q62" s="346">
        <v>0</v>
      </c>
    </row>
    <row r="63" spans="1:17" s="2237" customFormat="1" ht="6.4" customHeight="1">
      <c r="A63" s="716"/>
      <c r="B63" s="169"/>
      <c r="C63" s="170"/>
      <c r="D63" s="176"/>
      <c r="E63" s="174"/>
      <c r="F63" s="177"/>
      <c r="G63" s="17"/>
      <c r="H63" s="346"/>
      <c r="I63" s="348"/>
      <c r="J63" s="801"/>
      <c r="Q63" s="173">
        <v>6</v>
      </c>
    </row>
    <row r="64" spans="1:17" ht="21" customHeight="1">
      <c r="A64" s="718"/>
      <c r="B64" s="39"/>
      <c r="D64" s="22"/>
      <c r="E64" s="328" t="s">
        <v>68</v>
      </c>
      <c r="F64" s="153" t="s">
        <v>69</v>
      </c>
      <c r="G64" s="17"/>
      <c r="Q64" s="14">
        <v>20</v>
      </c>
    </row>
    <row r="65" spans="1:17" ht="21" customHeight="1">
      <c r="A65" s="718"/>
      <c r="B65" s="39"/>
      <c r="D65" s="22"/>
      <c r="E65" s="328" t="s">
        <v>70</v>
      </c>
      <c r="F65" s="153" t="s">
        <v>71</v>
      </c>
      <c r="G65" s="17"/>
      <c r="Q65" s="14">
        <v>20</v>
      </c>
    </row>
    <row r="66" spans="1:17" ht="36.75" customHeight="1">
      <c r="D66" s="15"/>
      <c r="E66" s="330" t="s">
        <v>72</v>
      </c>
      <c r="F66" s="978"/>
      <c r="G66" s="13"/>
      <c r="Q66" s="14">
        <v>35</v>
      </c>
    </row>
    <row r="67" spans="1:17" ht="21" customHeight="1">
      <c r="A67" s="718"/>
      <c r="D67" s="347"/>
      <c r="E67" s="328" t="s">
        <v>73</v>
      </c>
      <c r="F67" s="208" t="s">
        <v>74</v>
      </c>
      <c r="G67" s="17"/>
      <c r="Q67" s="14">
        <v>20</v>
      </c>
    </row>
    <row r="68" spans="1:17" ht="21" customHeight="1">
      <c r="A68" s="718"/>
      <c r="B68" s="39"/>
      <c r="D68" s="22"/>
      <c r="E68" s="328" t="s">
        <v>75</v>
      </c>
      <c r="F68" s="208" t="s">
        <v>76</v>
      </c>
      <c r="G68" s="17"/>
      <c r="Q68" s="14">
        <v>20</v>
      </c>
    </row>
    <row r="69" spans="1:17" ht="21" customHeight="1">
      <c r="A69" s="718"/>
      <c r="B69" s="39"/>
      <c r="D69" s="22"/>
      <c r="E69" s="328" t="s">
        <v>77</v>
      </c>
      <c r="F69" s="208" t="s">
        <v>78</v>
      </c>
      <c r="G69" s="17"/>
      <c r="Q69" s="14">
        <v>20</v>
      </c>
    </row>
    <row r="70" spans="1:17" ht="21" customHeight="1">
      <c r="D70" s="347"/>
      <c r="E70" s="328" t="s">
        <v>79</v>
      </c>
      <c r="F70" s="208" t="s">
        <v>80</v>
      </c>
      <c r="G70" s="13"/>
      <c r="Q70" s="14">
        <v>20</v>
      </c>
    </row>
    <row r="71" spans="1:17" ht="21" customHeight="1">
      <c r="A71" s="718"/>
      <c r="D71" s="13"/>
      <c r="F71" s="72"/>
      <c r="G71" s="17"/>
      <c r="Q71" s="14">
        <v>20</v>
      </c>
    </row>
    <row r="72" spans="1:17" ht="21" customHeight="1">
      <c r="A72" s="718"/>
      <c r="B72" s="39"/>
      <c r="D72" s="22"/>
      <c r="E72" s="21"/>
      <c r="F72" s="957" t="s">
        <v>13</v>
      </c>
      <c r="G72" s="17"/>
      <c r="Q72" s="14">
        <v>20</v>
      </c>
    </row>
    <row r="73" spans="1:17" ht="21" customHeight="1">
      <c r="A73" s="718"/>
      <c r="B73" s="39"/>
      <c r="D73" s="22"/>
      <c r="E73" s="21"/>
      <c r="F73" s="73"/>
      <c r="G73" s="17"/>
      <c r="Q73" s="14">
        <v>20</v>
      </c>
    </row>
    <row r="74" spans="1:17" ht="21" customHeight="1">
      <c r="A74" s="718"/>
      <c r="B74" s="39"/>
      <c r="D74" s="22"/>
      <c r="E74" s="26"/>
      <c r="F74" s="73"/>
      <c r="G74" s="17"/>
      <c r="Q74" s="14">
        <v>20</v>
      </c>
    </row>
    <row r="75" spans="1:17" ht="21" customHeight="1">
      <c r="A75" s="718"/>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81</v>
      </c>
      <c r="B79" s="38">
        <v>0</v>
      </c>
      <c r="C79" s="12">
        <v>3</v>
      </c>
      <c r="D79" s="14">
        <v>1</v>
      </c>
      <c r="E79" s="14">
        <v>55</v>
      </c>
      <c r="F79" s="14">
        <v>54</v>
      </c>
      <c r="G79" s="703">
        <v>1</v>
      </c>
      <c r="H79" s="346">
        <v>0</v>
      </c>
      <c r="I79" s="348">
        <v>59</v>
      </c>
      <c r="J79" s="803">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r:id="rId1"/>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244" hidden="1"/>
    <col min="2" max="2" width="11" style="2244" hidden="1" customWidth="1"/>
    <col min="3" max="3" width="10.5703125" style="2244" hidden="1"/>
    <col min="4" max="4" width="11.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2" style="2244" hidden="1" customWidth="1"/>
    <col min="10" max="10" width="9.85546875" style="2244" hidden="1" customWidth="1"/>
    <col min="11" max="11" width="11.42578125" style="2244" hidden="1" customWidth="1"/>
    <col min="12" max="12" width="19.140625" style="2270" hidden="1" customWidth="1"/>
    <col min="13" max="14" width="12.28515625" style="2271" hidden="1" customWidth="1"/>
    <col min="15" max="15" width="23.42578125" style="2271" hidden="1" customWidth="1"/>
    <col min="16" max="16" width="3" style="2271" customWidth="1"/>
    <col min="17" max="17" width="3" style="2276" customWidth="1"/>
    <col min="18" max="18" width="3" style="2273" customWidth="1"/>
    <col min="19" max="19" width="12" style="2274" customWidth="1"/>
    <col min="20" max="20" width="31" style="2238" customWidth="1"/>
    <col min="21" max="21" width="0.140625" style="2238" customWidth="1"/>
    <col min="22" max="23" width="21.7109375" style="2238" hidden="1" customWidth="1"/>
    <col min="24" max="24" width="11.7109375" style="2238" hidden="1" customWidth="1"/>
    <col min="25" max="25" width="3.7109375" style="2238" hidden="1" customWidth="1"/>
    <col min="26" max="26" width="11.7109375" style="2238" hidden="1" customWidth="1"/>
    <col min="27" max="27" width="8.5703125" style="2238" hidden="1" customWidth="1"/>
    <col min="28" max="28" width="5.42578125" style="2238" customWidth="1"/>
    <col min="29" max="30" width="3" style="2238" customWidth="1"/>
    <col min="31" max="31" width="24" style="2238" customWidth="1"/>
    <col min="32" max="32" width="3.7109375" style="2238" customWidth="1"/>
    <col min="33" max="34" width="3" style="2238" customWidth="1"/>
    <col min="35" max="35" width="24" style="2238" customWidth="1"/>
    <col min="36" max="36" width="3.7109375" style="2238" customWidth="1"/>
    <col min="37" max="38" width="3" style="2238" customWidth="1"/>
    <col min="39" max="39" width="18" style="2238" customWidth="1"/>
    <col min="40" max="41" width="21" style="2238" customWidth="1"/>
    <col min="42" max="42" width="11" style="2238" customWidth="1"/>
    <col min="43" max="43" width="3.7109375" style="2238" customWidth="1"/>
    <col min="44" max="44" width="11" style="2238" customWidth="1"/>
    <col min="45" max="45" width="8.5703125" style="2238" hidden="1" customWidth="1"/>
    <col min="46" max="46" width="4" style="2238" customWidth="1"/>
    <col min="47" max="47" width="115" style="2238" customWidth="1"/>
    <col min="48" max="52" width="10" style="2245" customWidth="1"/>
    <col min="53" max="53" width="10.5703125" style="2238" hidden="1"/>
  </cols>
  <sheetData>
    <row r="1" spans="1:53" ht="22.5" hidden="1" customHeight="1">
      <c r="W1" s="264"/>
      <c r="X1" s="264"/>
      <c r="AO1" s="264"/>
      <c r="AP1" s="264"/>
      <c r="BA1" s="1074" t="s">
        <v>14</v>
      </c>
    </row>
    <row r="2" spans="1:53" ht="21" hidden="1" customHeight="1">
      <c r="A2" s="1282"/>
      <c r="B2" s="1282"/>
      <c r="C2" s="1282"/>
      <c r="D2" s="1282"/>
      <c r="E2" s="2483">
        <v>1</v>
      </c>
      <c r="F2" s="1282"/>
      <c r="G2" s="1282"/>
      <c r="H2" s="1282"/>
      <c r="I2" s="1282"/>
      <c r="J2" s="1282"/>
      <c r="K2" s="1282"/>
      <c r="L2" s="1283"/>
      <c r="M2" s="1284"/>
      <c r="N2" s="1284"/>
      <c r="O2" s="1284"/>
      <c r="P2" s="1328"/>
      <c r="Q2" s="800"/>
      <c r="R2" s="292"/>
      <c r="S2" s="1255" t="e">
        <f>INDEX(PT_DIFFERENTIATION_NUM_NTAR,MATCH(A2,PT_DIFFERENTIATION_NTAR_ID,0))</f>
        <v>#N/A</v>
      </c>
      <c r="T2" s="235" t="s">
        <v>123</v>
      </c>
      <c r="U2" s="237"/>
      <c r="V2" s="2470"/>
      <c r="W2" s="2470"/>
      <c r="X2" s="2470"/>
      <c r="Y2" s="2470"/>
      <c r="Z2" s="2470"/>
      <c r="AA2" s="2471"/>
      <c r="AB2" s="2469" t="e">
        <f>INDEX(PT_DIFFERENTIATION_NTAR,MATCH(A2,PT_DIFFERENTIATION_NTAR_ID,0))</f>
        <v>#N/A</v>
      </c>
      <c r="AC2" s="2470"/>
      <c r="AD2" s="2470"/>
      <c r="AE2" s="2470"/>
      <c r="AF2" s="2470"/>
      <c r="AG2" s="2470"/>
      <c r="AH2" s="2470"/>
      <c r="AI2" s="2470"/>
      <c r="AJ2" s="2470"/>
      <c r="AK2" s="2470"/>
      <c r="AL2" s="2470"/>
      <c r="AM2" s="2470"/>
      <c r="AN2" s="2470"/>
      <c r="AO2" s="2470"/>
      <c r="AP2" s="2470"/>
      <c r="AQ2" s="2470"/>
      <c r="AR2" s="2470"/>
      <c r="AS2" s="2470"/>
      <c r="AT2" s="2471"/>
      <c r="AU2" s="1177" t="s">
        <v>394</v>
      </c>
      <c r="AW2" s="437"/>
      <c r="AX2" s="437" t="str">
        <f t="shared" ref="AX2:AX8" si="0">IF(T2="","",T2)</f>
        <v>Наименование тарифа</v>
      </c>
      <c r="AY2" s="437"/>
      <c r="AZ2" s="437"/>
      <c r="BA2" s="1074">
        <v>0</v>
      </c>
    </row>
    <row r="3" spans="1:53" ht="21" hidden="1" customHeight="1">
      <c r="A3" s="1282"/>
      <c r="B3" s="1282"/>
      <c r="C3" s="1282"/>
      <c r="D3" s="1282"/>
      <c r="E3" s="2484"/>
      <c r="F3" s="2483">
        <v>1</v>
      </c>
      <c r="G3" s="1282"/>
      <c r="H3" s="1282"/>
      <c r="I3" s="1282"/>
      <c r="J3" s="1282"/>
      <c r="K3" s="1282"/>
      <c r="L3" s="1283"/>
      <c r="M3" s="1284"/>
      <c r="N3" s="1284"/>
      <c r="O3" s="1284"/>
      <c r="P3" s="1329"/>
      <c r="Q3" s="1330"/>
      <c r="R3" s="290"/>
      <c r="S3" s="1255" t="e">
        <f>INDEX(PT_DIFFERENTIATION_NUM_TER,MATCH(B3,PT_DIFFERENTIATION_TER_ID,0))</f>
        <v>#N/A</v>
      </c>
      <c r="T3" s="245" t="s">
        <v>395</v>
      </c>
      <c r="U3" s="237"/>
      <c r="V3" s="2470"/>
      <c r="W3" s="2470"/>
      <c r="X3" s="2470"/>
      <c r="Y3" s="2470"/>
      <c r="Z3" s="2470"/>
      <c r="AA3" s="2471"/>
      <c r="AB3" s="2469" t="e">
        <f>INDEX(PT_DIFFERENTIATION_TER,MATCH(B3,PT_DIFFERENTIATION_TER_ID,0))</f>
        <v>#N/A</v>
      </c>
      <c r="AC3" s="2470"/>
      <c r="AD3" s="2470"/>
      <c r="AE3" s="2470"/>
      <c r="AF3" s="2470"/>
      <c r="AG3" s="2470"/>
      <c r="AH3" s="2470"/>
      <c r="AI3" s="2470"/>
      <c r="AJ3" s="2470"/>
      <c r="AK3" s="2470"/>
      <c r="AL3" s="2470"/>
      <c r="AM3" s="2470"/>
      <c r="AN3" s="2470"/>
      <c r="AO3" s="2470"/>
      <c r="AP3" s="2470"/>
      <c r="AQ3" s="2470"/>
      <c r="AR3" s="2470"/>
      <c r="AS3" s="2470"/>
      <c r="AT3" s="2471"/>
      <c r="AU3" s="1177" t="s">
        <v>396</v>
      </c>
      <c r="AW3" s="437"/>
      <c r="AX3" s="437" t="str">
        <f t="shared" si="0"/>
        <v>Территория действия тарифа</v>
      </c>
      <c r="AY3" s="437"/>
      <c r="AZ3" s="437"/>
      <c r="BA3" s="1074">
        <v>0</v>
      </c>
    </row>
    <row r="4" spans="1:53" ht="22.5" hidden="1" customHeight="1">
      <c r="A4" s="1282"/>
      <c r="B4" s="1282"/>
      <c r="C4" s="1282"/>
      <c r="D4" s="1282"/>
      <c r="E4" s="2484"/>
      <c r="F4" s="2484"/>
      <c r="G4" s="2483">
        <v>1</v>
      </c>
      <c r="H4" s="1282"/>
      <c r="I4" s="1282"/>
      <c r="J4" s="1282"/>
      <c r="K4" s="1282"/>
      <c r="L4" s="1283"/>
      <c r="M4" s="1284"/>
      <c r="N4" s="1284"/>
      <c r="O4" s="1284"/>
      <c r="P4" s="1331"/>
      <c r="Q4" s="1330"/>
      <c r="R4" s="290"/>
      <c r="S4" s="1255" t="e">
        <f>INDEX(PT_DIFFERENTIATION_NUM_CS,MATCH(C4,PT_DIFFERENTIATION_CS_ID,0))</f>
        <v>#N/A</v>
      </c>
      <c r="T4" s="246" t="s">
        <v>397</v>
      </c>
      <c r="U4" s="237"/>
      <c r="V4" s="2470"/>
      <c r="W4" s="2470"/>
      <c r="X4" s="2470"/>
      <c r="Y4" s="2470"/>
      <c r="Z4" s="2470"/>
      <c r="AA4" s="2471"/>
      <c r="AB4" s="2469" t="e">
        <f>INDEX(PT_DIFFERENTIATION_CS,MATCH(C4,PT_DIFFERENTIATION_CS_ID,0))</f>
        <v>#N/A</v>
      </c>
      <c r="AC4" s="2470"/>
      <c r="AD4" s="2470"/>
      <c r="AE4" s="2470"/>
      <c r="AF4" s="2470"/>
      <c r="AG4" s="2470"/>
      <c r="AH4" s="2470"/>
      <c r="AI4" s="2470"/>
      <c r="AJ4" s="2470"/>
      <c r="AK4" s="2470"/>
      <c r="AL4" s="2470"/>
      <c r="AM4" s="2470"/>
      <c r="AN4" s="2470"/>
      <c r="AO4" s="2470"/>
      <c r="AP4" s="2470"/>
      <c r="AQ4" s="2470"/>
      <c r="AR4" s="2470"/>
      <c r="AS4" s="2470"/>
      <c r="AT4" s="2471"/>
      <c r="AU4" s="1177" t="s">
        <v>398</v>
      </c>
      <c r="AW4" s="437"/>
      <c r="AX4" s="437" t="str">
        <f t="shared" si="0"/>
        <v xml:space="preserve">Наименование системы теплоснабжения </v>
      </c>
      <c r="AY4" s="437"/>
      <c r="AZ4" s="437"/>
      <c r="BA4" s="1074">
        <v>0</v>
      </c>
    </row>
    <row r="5" spans="1:53" ht="21" hidden="1" customHeight="1">
      <c r="A5" s="1282"/>
      <c r="B5" s="1282"/>
      <c r="C5" s="1282"/>
      <c r="D5" s="1282"/>
      <c r="E5" s="2484"/>
      <c r="F5" s="2484"/>
      <c r="G5" s="2484"/>
      <c r="H5" s="2483">
        <v>1</v>
      </c>
      <c r="I5" s="1282"/>
      <c r="J5" s="1282"/>
      <c r="K5" s="1282"/>
      <c r="L5" s="1283"/>
      <c r="M5" s="1284"/>
      <c r="N5" s="1284"/>
      <c r="O5" s="1284"/>
      <c r="P5" s="1331"/>
      <c r="Q5" s="1330"/>
      <c r="R5" s="290"/>
      <c r="S5" s="1255" t="e">
        <f>INDEX(PT_DIFFERENTIATION_NUM_IST_TE,MATCH(D5,PT_DIFFERENTIATION_IST_TE_ID,0))</f>
        <v>#N/A</v>
      </c>
      <c r="T5" s="247" t="s">
        <v>399</v>
      </c>
      <c r="U5" s="237"/>
      <c r="V5" s="2470"/>
      <c r="W5" s="2470"/>
      <c r="X5" s="2470"/>
      <c r="Y5" s="2470"/>
      <c r="Z5" s="2470"/>
      <c r="AA5" s="2471"/>
      <c r="AB5" s="2469" t="e">
        <f>INDEX(PT_DIFFERENTIATION_IST_TE,MATCH(D5,PT_DIFFERENTIATION_IST_TE_ID,0))</f>
        <v>#N/A</v>
      </c>
      <c r="AC5" s="2470"/>
      <c r="AD5" s="2470"/>
      <c r="AE5" s="2470"/>
      <c r="AF5" s="2470"/>
      <c r="AG5" s="2470"/>
      <c r="AH5" s="2470"/>
      <c r="AI5" s="2470"/>
      <c r="AJ5" s="2470"/>
      <c r="AK5" s="2470"/>
      <c r="AL5" s="2470"/>
      <c r="AM5" s="2470"/>
      <c r="AN5" s="2470"/>
      <c r="AO5" s="2470"/>
      <c r="AP5" s="2470"/>
      <c r="AQ5" s="2470"/>
      <c r="AR5" s="2470"/>
      <c r="AS5" s="2470"/>
      <c r="AT5" s="2471"/>
      <c r="AU5" s="1177" t="s">
        <v>400</v>
      </c>
      <c r="AW5" s="437"/>
      <c r="AX5" s="437" t="str">
        <f t="shared" si="0"/>
        <v xml:space="preserve">Источник тепловой энергии  </v>
      </c>
      <c r="AY5" s="437"/>
      <c r="AZ5" s="437"/>
      <c r="BA5" s="1074">
        <v>0</v>
      </c>
    </row>
    <row r="6" spans="1:53" s="2245" customFormat="1" ht="0.75" hidden="1" customHeight="1">
      <c r="A6" s="1262"/>
      <c r="B6" s="1262"/>
      <c r="C6" s="1262"/>
      <c r="D6" s="1262"/>
      <c r="E6" s="2484"/>
      <c r="F6" s="2484"/>
      <c r="G6" s="2484"/>
      <c r="H6" s="2484"/>
      <c r="I6" s="2481" t="e">
        <f>S5&amp;".1"</f>
        <v>#N/A</v>
      </c>
      <c r="J6" s="1262"/>
      <c r="K6" s="1262"/>
      <c r="L6" s="1265" t="s">
        <v>401</v>
      </c>
      <c r="M6" s="447"/>
      <c r="N6" s="447"/>
      <c r="O6" s="447"/>
      <c r="P6" s="2482">
        <v>1</v>
      </c>
      <c r="Q6" s="1250"/>
      <c r="R6" s="293"/>
      <c r="S6" s="966"/>
      <c r="T6" s="1302"/>
      <c r="U6" s="1303"/>
      <c r="V6" s="2513"/>
      <c r="W6" s="2513"/>
      <c r="X6" s="2513"/>
      <c r="Y6" s="2513"/>
      <c r="Z6" s="2513"/>
      <c r="AA6" s="2514"/>
      <c r="AB6" s="2512"/>
      <c r="AC6" s="2513"/>
      <c r="AD6" s="2513"/>
      <c r="AE6" s="2513"/>
      <c r="AF6" s="2513"/>
      <c r="AG6" s="2513"/>
      <c r="AH6" s="2513"/>
      <c r="AI6" s="2513"/>
      <c r="AJ6" s="2513"/>
      <c r="AK6" s="2513"/>
      <c r="AL6" s="2513"/>
      <c r="AM6" s="2513"/>
      <c r="AN6" s="2513"/>
      <c r="AO6" s="2513"/>
      <c r="AP6" s="2513"/>
      <c r="AQ6" s="2513"/>
      <c r="AR6" s="2513"/>
      <c r="AS6" s="2513"/>
      <c r="AT6" s="2514"/>
      <c r="AU6" s="1304"/>
      <c r="AW6" s="437"/>
      <c r="AX6" s="437" t="str">
        <f t="shared" si="0"/>
        <v/>
      </c>
      <c r="AY6" s="437"/>
      <c r="AZ6" s="437"/>
      <c r="BA6" s="448">
        <v>0</v>
      </c>
    </row>
    <row r="7" spans="1:53" s="2245" customFormat="1" ht="0.75" hidden="1" customHeight="1">
      <c r="A7" s="1262"/>
      <c r="B7" s="1262"/>
      <c r="C7" s="1262"/>
      <c r="D7" s="1262"/>
      <c r="E7" s="2484"/>
      <c r="F7" s="2484"/>
      <c r="G7" s="2484"/>
      <c r="H7" s="2484"/>
      <c r="I7" s="2504"/>
      <c r="J7" s="2481" t="e">
        <f>S5&amp;".1"</f>
        <v>#N/A</v>
      </c>
      <c r="K7" s="1262"/>
      <c r="L7" s="1265"/>
      <c r="M7" s="447"/>
      <c r="N7" s="447"/>
      <c r="O7" s="447"/>
      <c r="P7" s="2482"/>
      <c r="Q7" s="2482">
        <v>1</v>
      </c>
      <c r="R7" s="294"/>
      <c r="S7" s="966"/>
      <c r="T7" s="1318"/>
      <c r="U7" s="1303"/>
      <c r="V7" s="2513"/>
      <c r="W7" s="2513"/>
      <c r="X7" s="2513"/>
      <c r="Y7" s="2513"/>
      <c r="Z7" s="2513"/>
      <c r="AA7" s="2514"/>
      <c r="AB7" s="2512"/>
      <c r="AC7" s="2513"/>
      <c r="AD7" s="2513"/>
      <c r="AE7" s="2513"/>
      <c r="AF7" s="2513"/>
      <c r="AG7" s="2513"/>
      <c r="AH7" s="2513"/>
      <c r="AI7" s="2513"/>
      <c r="AJ7" s="2513"/>
      <c r="AK7" s="2513"/>
      <c r="AL7" s="2513"/>
      <c r="AM7" s="2513"/>
      <c r="AN7" s="2513"/>
      <c r="AO7" s="2513"/>
      <c r="AP7" s="2513"/>
      <c r="AQ7" s="2513"/>
      <c r="AR7" s="2513"/>
      <c r="AS7" s="2513"/>
      <c r="AT7" s="2514"/>
      <c r="AU7" s="1304"/>
      <c r="AW7" s="437"/>
      <c r="AX7" s="437" t="str">
        <f t="shared" si="0"/>
        <v/>
      </c>
      <c r="AY7" s="437"/>
      <c r="AZ7" s="437"/>
      <c r="BA7" s="448">
        <v>0</v>
      </c>
    </row>
    <row r="8" spans="1:53" ht="21" hidden="1" customHeight="1">
      <c r="A8" s="1282"/>
      <c r="B8" s="1282"/>
      <c r="C8" s="1282"/>
      <c r="D8" s="1282"/>
      <c r="E8" s="2484"/>
      <c r="F8" s="2484"/>
      <c r="G8" s="2484"/>
      <c r="H8" s="2484"/>
      <c r="I8" s="2504"/>
      <c r="J8" s="2504"/>
      <c r="K8" s="2481" t="e">
        <f>S5&amp;".1"</f>
        <v>#N/A</v>
      </c>
      <c r="L8" s="1283"/>
      <c r="P8" s="2482"/>
      <c r="Q8" s="2482"/>
      <c r="R8" s="2547">
        <v>1</v>
      </c>
      <c r="S8" s="2541" t="e">
        <f>$K8</f>
        <v>#N/A</v>
      </c>
      <c r="T8" s="2544"/>
      <c r="U8" s="237"/>
      <c r="V8" s="688"/>
      <c r="W8" s="1176"/>
      <c r="X8" s="2486"/>
      <c r="Y8" s="2344" t="s">
        <v>64</v>
      </c>
      <c r="Z8" s="2486"/>
      <c r="AA8" s="2344" t="s">
        <v>64</v>
      </c>
      <c r="AB8" s="2344" t="s">
        <v>19</v>
      </c>
      <c r="AC8" s="2526"/>
      <c r="AD8" s="2438">
        <v>1</v>
      </c>
      <c r="AE8" s="2527"/>
      <c r="AF8" s="2344" t="s">
        <v>19</v>
      </c>
      <c r="AG8" s="2526"/>
      <c r="AH8" s="2438">
        <v>1</v>
      </c>
      <c r="AI8" s="2527"/>
      <c r="AJ8" s="2344" t="s">
        <v>19</v>
      </c>
      <c r="AK8" s="248"/>
      <c r="AL8" s="1256">
        <v>1</v>
      </c>
      <c r="AM8" s="1317"/>
      <c r="AN8" s="688"/>
      <c r="AO8" s="1176"/>
      <c r="AP8" s="1652"/>
      <c r="AQ8" s="1378" t="s">
        <v>64</v>
      </c>
      <c r="AR8" s="1652"/>
      <c r="AS8" s="1378" t="s">
        <v>64</v>
      </c>
      <c r="AT8" s="1267"/>
      <c r="AU8" s="2478" t="s">
        <v>462</v>
      </c>
      <c r="AV8" s="448" t="e">
        <f ca="1">STRCHECKDATE(V11:AT11)</f>
        <v>#NAME?</v>
      </c>
      <c r="AW8" s="437"/>
      <c r="AX8" s="437" t="str">
        <f t="shared" si="0"/>
        <v/>
      </c>
      <c r="AY8" s="437"/>
      <c r="AZ8" s="437"/>
      <c r="BA8" s="1074">
        <v>0</v>
      </c>
    </row>
    <row r="9" spans="1:53" ht="11.25" hidden="1" customHeight="1">
      <c r="A9" s="1282"/>
      <c r="B9" s="1282"/>
      <c r="C9" s="1282"/>
      <c r="D9" s="1282"/>
      <c r="E9" s="2484"/>
      <c r="F9" s="2484"/>
      <c r="G9" s="2484"/>
      <c r="H9" s="2484"/>
      <c r="I9" s="2504"/>
      <c r="J9" s="2504"/>
      <c r="K9" s="2481"/>
      <c r="L9" s="1283"/>
      <c r="P9" s="2482"/>
      <c r="Q9" s="2482"/>
      <c r="R9" s="2547"/>
      <c r="S9" s="2542"/>
      <c r="T9" s="2545"/>
      <c r="U9" s="237"/>
      <c r="V9" s="1312"/>
      <c r="W9" s="1316"/>
      <c r="X9" s="2486"/>
      <c r="Y9" s="2344"/>
      <c r="Z9" s="2486"/>
      <c r="AA9" s="2344"/>
      <c r="AB9" s="2344"/>
      <c r="AC9" s="2526"/>
      <c r="AD9" s="2438"/>
      <c r="AE9" s="2527"/>
      <c r="AF9" s="2344"/>
      <c r="AG9" s="2526"/>
      <c r="AH9" s="2438"/>
      <c r="AI9" s="2527"/>
      <c r="AJ9" s="2344"/>
      <c r="AK9" s="253"/>
      <c r="AL9" s="353"/>
      <c r="AM9" s="352" t="s">
        <v>463</v>
      </c>
      <c r="AN9" s="1312"/>
      <c r="AO9" s="1415"/>
      <c r="AP9" s="1312"/>
      <c r="AQ9" s="1312"/>
      <c r="AR9" s="1312"/>
      <c r="AS9" s="1312"/>
      <c r="AT9" s="1309"/>
      <c r="AU9" s="2479"/>
      <c r="AW9" s="437"/>
      <c r="AX9" s="437"/>
      <c r="AY9" s="437"/>
      <c r="AZ9" s="437"/>
      <c r="BA9" s="1074">
        <v>0</v>
      </c>
    </row>
    <row r="10" spans="1:53" ht="11.25" hidden="1" customHeight="1">
      <c r="A10" s="1282"/>
      <c r="B10" s="1282"/>
      <c r="C10" s="1282"/>
      <c r="D10" s="1282"/>
      <c r="E10" s="2484"/>
      <c r="F10" s="2484"/>
      <c r="G10" s="2484"/>
      <c r="H10" s="2484"/>
      <c r="I10" s="2504"/>
      <c r="J10" s="2504"/>
      <c r="K10" s="2481"/>
      <c r="L10" s="1283"/>
      <c r="P10" s="2482"/>
      <c r="Q10" s="2482"/>
      <c r="R10" s="2547"/>
      <c r="S10" s="2542"/>
      <c r="T10" s="2545"/>
      <c r="U10" s="237"/>
      <c r="V10" s="1312"/>
      <c r="W10" s="1316"/>
      <c r="X10" s="2486"/>
      <c r="Y10" s="2344"/>
      <c r="Z10" s="2486"/>
      <c r="AA10" s="2344"/>
      <c r="AB10" s="2344"/>
      <c r="AC10" s="2526"/>
      <c r="AD10" s="2438"/>
      <c r="AE10" s="2527"/>
      <c r="AF10" s="2344"/>
      <c r="AG10" s="231"/>
      <c r="AH10" s="352"/>
      <c r="AI10" s="352" t="s">
        <v>464</v>
      </c>
      <c r="AJ10" s="1312"/>
      <c r="AK10" s="1312"/>
      <c r="AL10" s="1312"/>
      <c r="AM10" s="1312"/>
      <c r="AN10" s="1312"/>
      <c r="AO10" s="1415"/>
      <c r="AP10" s="1312"/>
      <c r="AQ10" s="1312"/>
      <c r="AR10" s="1312"/>
      <c r="AS10" s="1312"/>
      <c r="AT10" s="1309"/>
      <c r="AU10" s="2479"/>
      <c r="AW10" s="437"/>
      <c r="AX10" s="437"/>
      <c r="AY10" s="437"/>
      <c r="AZ10" s="437"/>
      <c r="BA10" s="1074">
        <v>0</v>
      </c>
    </row>
    <row r="11" spans="1:53" ht="11.25" hidden="1" customHeight="1">
      <c r="A11" s="1282"/>
      <c r="B11" s="1282"/>
      <c r="C11" s="1282"/>
      <c r="D11" s="1282"/>
      <c r="E11" s="2484"/>
      <c r="F11" s="2484"/>
      <c r="G11" s="2484"/>
      <c r="H11" s="2484"/>
      <c r="I11" s="2504"/>
      <c r="J11" s="2504"/>
      <c r="K11" s="2481"/>
      <c r="L11" s="1283"/>
      <c r="P11" s="2482"/>
      <c r="Q11" s="2482"/>
      <c r="R11" s="2547"/>
      <c r="S11" s="2543"/>
      <c r="T11" s="2546"/>
      <c r="U11" s="237"/>
      <c r="V11" s="1312"/>
      <c r="W11" s="1315" t="str">
        <f>X8&amp;"-"&amp;Z8</f>
        <v>-</v>
      </c>
      <c r="X11" s="2487"/>
      <c r="Y11" s="2344"/>
      <c r="Z11" s="2487"/>
      <c r="AA11" s="2344"/>
      <c r="AB11" s="2344"/>
      <c r="AC11" s="249"/>
      <c r="AD11" s="251"/>
      <c r="AE11" s="352" t="s">
        <v>465</v>
      </c>
      <c r="AF11" s="1312"/>
      <c r="AG11" s="1312"/>
      <c r="AH11" s="1312"/>
      <c r="AI11" s="1312"/>
      <c r="AJ11" s="1312"/>
      <c r="AK11" s="1312"/>
      <c r="AL11" s="1312"/>
      <c r="AM11" s="1312"/>
      <c r="AN11" s="1312"/>
      <c r="AO11" s="1313" t="str">
        <f>AP8&amp;"-"&amp;AR8</f>
        <v>-</v>
      </c>
      <c r="AP11" s="1312"/>
      <c r="AQ11" s="1312"/>
      <c r="AR11" s="1312"/>
      <c r="AS11" s="1312"/>
      <c r="AT11" s="1268"/>
      <c r="AU11" s="2479"/>
      <c r="AW11" s="437"/>
      <c r="AX11" s="437" t="str">
        <f t="shared" ref="AX11:AX17" si="1">IF(T11="","",T11)</f>
        <v/>
      </c>
      <c r="AY11" s="437"/>
      <c r="AZ11" s="437"/>
      <c r="BA11" s="1074">
        <v>0</v>
      </c>
    </row>
    <row r="12" spans="1:53" ht="11.25" hidden="1" customHeight="1">
      <c r="A12" s="1282"/>
      <c r="B12" s="1282"/>
      <c r="C12" s="1282"/>
      <c r="D12" s="1282"/>
      <c r="E12" s="2484"/>
      <c r="F12" s="2484"/>
      <c r="G12" s="2484"/>
      <c r="H12" s="2484"/>
      <c r="I12" s="2504"/>
      <c r="J12" s="2481"/>
      <c r="K12" s="1282"/>
      <c r="L12" s="1283"/>
      <c r="P12" s="2482"/>
      <c r="Q12" s="2482"/>
      <c r="R12" s="293"/>
      <c r="S12" s="1197"/>
      <c r="T12" s="224" t="s">
        <v>466</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480"/>
      <c r="AW12" s="437"/>
      <c r="AX12" s="437" t="str">
        <f t="shared" si="1"/>
        <v>Добавить строку</v>
      </c>
      <c r="AY12" s="437"/>
      <c r="AZ12" s="437"/>
      <c r="BA12" s="1074">
        <v>0</v>
      </c>
    </row>
    <row r="13" spans="1:53" s="2245" customFormat="1" ht="0.75" hidden="1" customHeight="1">
      <c r="A13" s="1262"/>
      <c r="B13" s="1262"/>
      <c r="C13" s="1262"/>
      <c r="D13" s="1262"/>
      <c r="E13" s="2484"/>
      <c r="F13" s="2484"/>
      <c r="G13" s="2484"/>
      <c r="H13" s="2484"/>
      <c r="I13" s="2481"/>
      <c r="J13" s="1262"/>
      <c r="K13" s="1262"/>
      <c r="L13" s="1265"/>
      <c r="M13" s="447"/>
      <c r="N13" s="447"/>
      <c r="O13" s="447"/>
      <c r="P13" s="2482"/>
      <c r="Q13" s="1250"/>
      <c r="R13" s="293"/>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37"/>
      <c r="AX13" s="437" t="str">
        <f t="shared" si="1"/>
        <v/>
      </c>
      <c r="AY13" s="437"/>
      <c r="AZ13" s="437"/>
      <c r="BA13" s="448">
        <v>0</v>
      </c>
    </row>
    <row r="14" spans="1:53" s="2245" customFormat="1" ht="0.75" hidden="1" customHeight="1">
      <c r="A14" s="1262"/>
      <c r="B14" s="1262"/>
      <c r="C14" s="1262"/>
      <c r="D14" s="1262"/>
      <c r="E14" s="2484"/>
      <c r="F14" s="2484"/>
      <c r="G14" s="2484"/>
      <c r="H14" s="2483"/>
      <c r="I14" s="1262"/>
      <c r="J14" s="1262"/>
      <c r="K14" s="1262"/>
      <c r="L14" s="1265"/>
      <c r="M14" s="1234"/>
      <c r="N14" s="1234"/>
      <c r="O14" s="455"/>
      <c r="P14" s="317"/>
      <c r="Q14" s="1263"/>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37"/>
      <c r="AX14" s="437" t="str">
        <f t="shared" si="1"/>
        <v/>
      </c>
      <c r="AY14" s="437"/>
      <c r="AZ14" s="437"/>
      <c r="BA14" s="448">
        <v>0</v>
      </c>
    </row>
    <row r="15" spans="1:53" s="2245" customFormat="1" ht="0.75" hidden="1" customHeight="1">
      <c r="A15" s="1262"/>
      <c r="B15" s="1262"/>
      <c r="C15" s="1262"/>
      <c r="D15" s="1233"/>
      <c r="E15" s="2484"/>
      <c r="F15" s="2484"/>
      <c r="G15" s="2483"/>
      <c r="H15" s="1233"/>
      <c r="I15" s="1233"/>
      <c r="J15" s="1233"/>
      <c r="K15" s="1233"/>
      <c r="L15" s="1258"/>
      <c r="M15" s="1234"/>
      <c r="N15" s="1234"/>
      <c r="P15" s="1235"/>
      <c r="Q15" s="1236"/>
      <c r="R15" s="1235"/>
      <c r="S15" s="1241"/>
      <c r="T15" s="1244" t="s">
        <v>412</v>
      </c>
      <c r="U15" s="1243"/>
      <c r="V15" s="1243"/>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R15" s="1243"/>
      <c r="AS15" s="1243"/>
      <c r="AT15" s="1243"/>
      <c r="AU15" s="1243"/>
      <c r="AW15" s="720"/>
      <c r="AX15" s="720" t="str">
        <f t="shared" si="1"/>
        <v>Добавить источник для дифференциации</v>
      </c>
      <c r="AY15" s="720"/>
      <c r="AZ15" s="720"/>
      <c r="BA15" s="455">
        <v>0</v>
      </c>
    </row>
    <row r="16" spans="1:53" s="2245" customFormat="1" ht="0.75" hidden="1" customHeight="1">
      <c r="A16" s="1262"/>
      <c r="B16" s="1262"/>
      <c r="C16" s="1233"/>
      <c r="D16" s="1233"/>
      <c r="E16" s="2484"/>
      <c r="F16" s="2483"/>
      <c r="G16" s="1233"/>
      <c r="H16" s="1233"/>
      <c r="I16" s="1233"/>
      <c r="J16" s="1233"/>
      <c r="K16" s="1233"/>
      <c r="L16" s="1258"/>
      <c r="M16" s="1240"/>
      <c r="N16" s="1240"/>
      <c r="P16" s="1235"/>
      <c r="Q16" s="1236"/>
      <c r="R16" s="1235"/>
      <c r="S16" s="1241"/>
      <c r="T16" s="1244" t="s">
        <v>413</v>
      </c>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W16" s="720"/>
      <c r="AX16" s="720" t="str">
        <f t="shared" si="1"/>
        <v>Добавить централизованную систему для дифференциации</v>
      </c>
      <c r="AY16" s="720"/>
      <c r="AZ16" s="720"/>
      <c r="BA16" s="455">
        <v>0</v>
      </c>
    </row>
    <row r="17" spans="1:53" s="2245" customFormat="1" ht="0.75" hidden="1" customHeight="1">
      <c r="A17" s="1262"/>
      <c r="B17" s="1262"/>
      <c r="C17" s="1262"/>
      <c r="D17" s="1262"/>
      <c r="E17" s="2483"/>
      <c r="F17" s="1262"/>
      <c r="G17" s="1262"/>
      <c r="H17" s="1262"/>
      <c r="I17" s="1262"/>
      <c r="J17" s="1262"/>
      <c r="K17" s="1262"/>
      <c r="L17" s="1265"/>
      <c r="M17" s="1240"/>
      <c r="N17" s="1240"/>
      <c r="O17" s="455"/>
      <c r="P17" s="317"/>
      <c r="Q17" s="1263"/>
      <c r="R17" s="317"/>
      <c r="S17" s="1241"/>
      <c r="T17" s="1244" t="s">
        <v>414</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W17" s="437"/>
      <c r="AX17" s="437" t="str">
        <f t="shared" si="1"/>
        <v>Добавить территорию для дифференциации</v>
      </c>
      <c r="AY17" s="437"/>
      <c r="AZ17" s="437"/>
      <c r="BA17" s="448">
        <v>0</v>
      </c>
    </row>
    <row r="18" spans="1:53" ht="14.25" hidden="1" customHeight="1">
      <c r="AA18" s="264"/>
      <c r="AS18" s="264"/>
      <c r="BA18" s="1074">
        <v>0</v>
      </c>
    </row>
    <row r="19" spans="1:53" ht="14.25" hidden="1" customHeight="1">
      <c r="AB19" s="1243" t="s">
        <v>19</v>
      </c>
      <c r="AC19" s="1420"/>
      <c r="AD19" s="485">
        <v>1</v>
      </c>
      <c r="AE19" s="1421"/>
      <c r="AF19" s="1243" t="s">
        <v>19</v>
      </c>
      <c r="AG19" s="1420"/>
      <c r="AH19" s="485">
        <v>1</v>
      </c>
      <c r="AI19" s="1421"/>
      <c r="AJ19" s="1243" t="s">
        <v>19</v>
      </c>
      <c r="AK19" s="1422"/>
      <c r="AL19" s="485">
        <v>1</v>
      </c>
      <c r="AM19" s="1425"/>
      <c r="AN19" s="1322"/>
      <c r="AO19" s="1323"/>
      <c r="AP19" s="1654"/>
      <c r="AQ19" s="1379" t="s">
        <v>64</v>
      </c>
      <c r="AR19" s="1654"/>
      <c r="AS19" s="1379" t="s">
        <v>64</v>
      </c>
      <c r="BA19" s="1074">
        <v>0</v>
      </c>
    </row>
    <row r="20" spans="1:53" ht="14.25" hidden="1" customHeight="1">
      <c r="AV20" s="433"/>
      <c r="AW20" s="433"/>
      <c r="AX20" s="433"/>
      <c r="AY20" s="433"/>
      <c r="AZ20" s="433"/>
      <c r="BA20" s="1074">
        <v>0</v>
      </c>
    </row>
    <row r="21" spans="1:53" ht="14.25" hidden="1" customHeight="1">
      <c r="O21" s="1286" t="s">
        <v>415</v>
      </c>
      <c r="X21" s="1264"/>
      <c r="Z21" s="1264"/>
      <c r="AA21" s="264"/>
      <c r="AP21" s="1264"/>
      <c r="AR21" s="1264"/>
      <c r="AS21" s="264"/>
      <c r="AV21" s="433"/>
      <c r="AW21" s="433"/>
      <c r="AX21" s="433"/>
      <c r="AY21" s="433"/>
      <c r="AZ21" s="433"/>
      <c r="BA21" s="1074">
        <v>0</v>
      </c>
    </row>
    <row r="22" spans="1:53" ht="14.25" hidden="1" customHeight="1">
      <c r="AA22" s="264"/>
      <c r="AS22" s="264"/>
      <c r="AV22" s="433"/>
      <c r="AW22" s="433"/>
      <c r="AX22" s="433"/>
      <c r="AY22" s="433"/>
      <c r="AZ22" s="433"/>
      <c r="BA22" s="1074">
        <v>0</v>
      </c>
    </row>
    <row r="23" spans="1:53" s="2275" customFormat="1" ht="14.25" hidden="1" customHeight="1">
      <c r="M23" s="1427"/>
      <c r="N23" s="1427"/>
      <c r="O23" s="1428" t="s">
        <v>416</v>
      </c>
      <c r="P23" s="1427"/>
      <c r="Q23" s="1429"/>
      <c r="R23" s="1429"/>
      <c r="Y23" s="1426" t="s">
        <v>418</v>
      </c>
      <c r="AA23" s="1426" t="s">
        <v>419</v>
      </c>
      <c r="AB23" s="1426" t="s">
        <v>467</v>
      </c>
      <c r="AE23" s="1426" t="s">
        <v>468</v>
      </c>
      <c r="AF23" s="1426" t="s">
        <v>467</v>
      </c>
      <c r="AI23" s="1426" t="s">
        <v>469</v>
      </c>
      <c r="AJ23" s="1426" t="s">
        <v>467</v>
      </c>
      <c r="AM23" s="1426" t="s">
        <v>470</v>
      </c>
      <c r="AQ23" s="1426" t="s">
        <v>418</v>
      </c>
      <c r="AS23" s="1426" t="s">
        <v>419</v>
      </c>
      <c r="AV23" s="1430"/>
      <c r="AW23" s="1430"/>
      <c r="AX23" s="1430"/>
      <c r="AY23" s="1430"/>
      <c r="AZ23" s="1430"/>
      <c r="BA23" s="1426">
        <v>0</v>
      </c>
    </row>
    <row r="24" spans="1:53" ht="14.25" hidden="1" customHeight="1">
      <c r="O24" s="1283"/>
      <c r="AV24" s="433"/>
      <c r="AW24" s="433"/>
      <c r="AX24" s="433"/>
      <c r="AY24" s="433"/>
      <c r="AZ24" s="433"/>
      <c r="BA24" s="1074">
        <v>0</v>
      </c>
    </row>
    <row r="25" spans="1:53" ht="14.25" hidden="1" customHeight="1">
      <c r="O25" s="1283"/>
      <c r="AV25" s="433"/>
      <c r="AW25" s="433"/>
      <c r="AX25" s="433"/>
      <c r="AY25" s="433"/>
      <c r="AZ25" s="433"/>
      <c r="BA25" s="1074">
        <v>0</v>
      </c>
    </row>
    <row r="26" spans="1:53" ht="14.65" customHeight="1">
      <c r="Q26" s="228"/>
      <c r="R26" s="313"/>
      <c r="S26" s="1194"/>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74">
        <v>14</v>
      </c>
    </row>
    <row r="27" spans="1:53" ht="27.4" customHeight="1">
      <c r="Q27" s="228"/>
      <c r="R27" s="313"/>
      <c r="S27" s="246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467"/>
      <c r="U27" s="2467"/>
      <c r="V27" s="2467"/>
      <c r="W27" s="2467"/>
      <c r="X27" s="2467"/>
      <c r="Y27" s="2467"/>
      <c r="Z27" s="2467"/>
      <c r="AA27" s="2467"/>
      <c r="AB27" s="2467"/>
      <c r="AC27" s="2467"/>
      <c r="AD27" s="2467"/>
      <c r="AE27" s="2467"/>
      <c r="AF27" s="2467"/>
      <c r="AG27" s="2467"/>
      <c r="AH27" s="2467"/>
      <c r="AI27" s="2467"/>
      <c r="AJ27" s="2467"/>
      <c r="AK27" s="2467"/>
      <c r="AL27" s="2467"/>
      <c r="AM27" s="2467"/>
      <c r="AN27" s="2467"/>
      <c r="AO27" s="2467"/>
      <c r="AP27" s="2467"/>
      <c r="AQ27" s="2467"/>
      <c r="AR27" s="2467"/>
      <c r="AS27" s="1162"/>
      <c r="BA27" s="1074">
        <v>26</v>
      </c>
    </row>
    <row r="28" spans="1:53" ht="14.65" customHeight="1">
      <c r="Q28" s="228"/>
      <c r="R28" s="313"/>
      <c r="S28" s="2412" t="str">
        <f>IF(org=0,"Не определено",org)</f>
        <v>МУП "Водоканал"</v>
      </c>
      <c r="T28" s="2412"/>
      <c r="U28" s="2412"/>
      <c r="V28" s="2412"/>
      <c r="W28" s="2412"/>
      <c r="X28" s="2412"/>
      <c r="Y28" s="2412"/>
      <c r="Z28" s="2412"/>
      <c r="AA28" s="2412"/>
      <c r="AB28" s="2412"/>
      <c r="AC28" s="2412"/>
      <c r="AD28" s="2412"/>
      <c r="AE28" s="2412"/>
      <c r="AF28" s="2412"/>
      <c r="AG28" s="2412"/>
      <c r="AH28" s="2412"/>
      <c r="AI28" s="2412"/>
      <c r="AJ28" s="2412"/>
      <c r="AK28" s="2412"/>
      <c r="AL28" s="2412"/>
      <c r="AM28" s="2412"/>
      <c r="AN28" s="2412"/>
      <c r="AO28" s="2412"/>
      <c r="AP28" s="2412"/>
      <c r="AQ28" s="2412"/>
      <c r="AR28" s="2412"/>
      <c r="AS28" s="1162"/>
      <c r="BA28" s="1074">
        <v>14</v>
      </c>
    </row>
    <row r="29" spans="1:53" ht="14.25" hidden="1" customHeight="1">
      <c r="Q29" s="228"/>
      <c r="R29" s="313"/>
      <c r="S29" s="1194"/>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74">
        <v>0</v>
      </c>
    </row>
    <row r="30" spans="1:53" s="2254" customFormat="1" ht="25.5" hidden="1" customHeight="1">
      <c r="A30" s="1287"/>
      <c r="B30" s="1287"/>
      <c r="C30" s="1287"/>
      <c r="D30" s="1287"/>
      <c r="E30" s="1287"/>
      <c r="F30" s="1287"/>
      <c r="G30" s="1287"/>
      <c r="H30" s="1287"/>
      <c r="I30" s="1287"/>
      <c r="J30" s="1287"/>
      <c r="K30" s="1287"/>
      <c r="L30" s="1288"/>
      <c r="M30" s="1287"/>
      <c r="N30" s="1287"/>
      <c r="O30" s="1287"/>
      <c r="P30" s="1287"/>
      <c r="Q30" s="1287"/>
      <c r="S30" s="2475" t="s">
        <v>41</v>
      </c>
      <c r="T30" s="2475"/>
      <c r="U30" s="1291"/>
      <c r="V30" s="2476" t="str">
        <f>IF(TITLE_NAME_OR_PR_CHANGE="",IF(TITLE_NAME_OR_PR="","",TITLE_NAME_OR_PR),TITLE_NAME_OR_PR_CHANGE)</f>
        <v/>
      </c>
      <c r="W30" s="2476"/>
      <c r="X30" s="2476"/>
      <c r="Y30" s="2476"/>
      <c r="Z30" s="2476"/>
      <c r="AA30" s="263"/>
      <c r="AB30" s="2476" t="str">
        <f>IF(TITLE_NAME_OR_PR_CHANGE="",IF(TITLE_NAME_OR_PR="","",TITLE_NAME_OR_PR),TITLE_NAME_OR_PR_CHANGE)</f>
        <v/>
      </c>
      <c r="AC30" s="2476"/>
      <c r="AD30" s="2476"/>
      <c r="AE30" s="2476"/>
      <c r="AF30" s="2476"/>
      <c r="AG30" s="2476"/>
      <c r="AH30" s="2476"/>
      <c r="AI30" s="2476"/>
      <c r="AJ30" s="2476"/>
      <c r="AK30" s="2476"/>
      <c r="AL30" s="2476"/>
      <c r="AM30" s="2476"/>
      <c r="AN30" s="2476"/>
      <c r="AO30" s="2476"/>
      <c r="AP30" s="2476"/>
      <c r="AQ30" s="2476"/>
      <c r="AR30" s="2476"/>
      <c r="AS30" s="263"/>
      <c r="AT30" s="263"/>
      <c r="AU30" s="217"/>
      <c r="AV30" s="305"/>
      <c r="AW30" s="305"/>
      <c r="AX30" s="305"/>
      <c r="AY30" s="305"/>
      <c r="AZ30" s="305"/>
      <c r="BA30" s="355">
        <v>0</v>
      </c>
    </row>
    <row r="31" spans="1:53" s="2254" customFormat="1" ht="18.75" hidden="1" customHeight="1">
      <c r="A31" s="1287"/>
      <c r="B31" s="1287"/>
      <c r="C31" s="1287"/>
      <c r="D31" s="1287"/>
      <c r="E31" s="1287"/>
      <c r="F31" s="1287"/>
      <c r="G31" s="1287"/>
      <c r="H31" s="1287"/>
      <c r="I31" s="1287"/>
      <c r="J31" s="1287"/>
      <c r="K31" s="1287"/>
      <c r="L31" s="1288"/>
      <c r="M31" s="1287"/>
      <c r="N31" s="1287"/>
      <c r="O31" s="1287"/>
      <c r="P31" s="1287"/>
      <c r="Q31" s="1287"/>
      <c r="S31" s="2475" t="s">
        <v>421</v>
      </c>
      <c r="T31" s="2475"/>
      <c r="U31" s="1291"/>
      <c r="V31" s="2485" t="str">
        <f>IF(TITLE_DATE_PR_CHANGE="",IF(TITLE_DATE_PR="","",TITLE_DATE_PR),TITLE_DATE_PR_CHANGE)</f>
        <v/>
      </c>
      <c r="W31" s="2485"/>
      <c r="X31" s="2485"/>
      <c r="Y31" s="2485"/>
      <c r="Z31" s="2485"/>
      <c r="AA31" s="263"/>
      <c r="AB31" s="2485" t="str">
        <f>IF(TITLE_DATE_PR_CHANGE="",IF(TITLE_DATE_PR="","",TITLE_DATE_PR),TITLE_DATE_PR_CHANGE)</f>
        <v/>
      </c>
      <c r="AC31" s="2485"/>
      <c r="AD31" s="2485"/>
      <c r="AE31" s="2485"/>
      <c r="AF31" s="2485"/>
      <c r="AG31" s="2485"/>
      <c r="AH31" s="2485"/>
      <c r="AI31" s="2485"/>
      <c r="AJ31" s="2485"/>
      <c r="AK31" s="2485"/>
      <c r="AL31" s="2485"/>
      <c r="AM31" s="2485"/>
      <c r="AN31" s="2485"/>
      <c r="AO31" s="2485"/>
      <c r="AP31" s="2485"/>
      <c r="AQ31" s="2485"/>
      <c r="AR31" s="2485"/>
      <c r="AS31" s="263"/>
      <c r="AT31" s="263"/>
      <c r="AU31" s="217"/>
      <c r="AV31" s="305"/>
      <c r="AW31" s="305"/>
      <c r="AX31" s="305"/>
      <c r="AY31" s="305"/>
      <c r="AZ31" s="305"/>
      <c r="BA31" s="355">
        <v>0</v>
      </c>
    </row>
    <row r="32" spans="1:53" s="2254" customFormat="1" ht="18.75" hidden="1" customHeight="1">
      <c r="A32" s="1287"/>
      <c r="B32" s="1287"/>
      <c r="C32" s="1287"/>
      <c r="D32" s="1287"/>
      <c r="E32" s="1287"/>
      <c r="F32" s="1287"/>
      <c r="G32" s="1287"/>
      <c r="H32" s="1287"/>
      <c r="I32" s="1287"/>
      <c r="J32" s="1287"/>
      <c r="K32" s="1287"/>
      <c r="L32" s="1288"/>
      <c r="M32" s="1287"/>
      <c r="N32" s="1287"/>
      <c r="O32" s="1287"/>
      <c r="P32" s="1287"/>
      <c r="Q32" s="1287"/>
      <c r="S32" s="2475" t="s">
        <v>422</v>
      </c>
      <c r="T32" s="2475"/>
      <c r="U32" s="1291"/>
      <c r="V32" s="2476" t="str">
        <f>IF(TITLE_NUMBER_PR_CHANGE="",IF(TITLE_NUMBER_PR="","",TITLE_NUMBER_PR),TITLE_NUMBER_PR_CHANGE)</f>
        <v/>
      </c>
      <c r="W32" s="2476"/>
      <c r="X32" s="2476"/>
      <c r="Y32" s="2476"/>
      <c r="Z32" s="2476"/>
      <c r="AA32" s="263"/>
      <c r="AB32" s="2476" t="str">
        <f>IF(TITLE_NUMBER_PR_CHANGE="",IF(TITLE_NUMBER_PR="","",TITLE_NUMBER_PR),TITLE_NUMBER_PR_CHANGE)</f>
        <v/>
      </c>
      <c r="AC32" s="2476"/>
      <c r="AD32" s="2476"/>
      <c r="AE32" s="2476"/>
      <c r="AF32" s="2476"/>
      <c r="AG32" s="2476"/>
      <c r="AH32" s="2476"/>
      <c r="AI32" s="2476"/>
      <c r="AJ32" s="2476"/>
      <c r="AK32" s="2476"/>
      <c r="AL32" s="2476"/>
      <c r="AM32" s="2476"/>
      <c r="AN32" s="2476"/>
      <c r="AO32" s="2476"/>
      <c r="AP32" s="2476"/>
      <c r="AQ32" s="2476"/>
      <c r="AR32" s="2476"/>
      <c r="AS32" s="263"/>
      <c r="AT32" s="263"/>
      <c r="AU32" s="217"/>
      <c r="AV32" s="305"/>
      <c r="AW32" s="305"/>
      <c r="AX32" s="305"/>
      <c r="AY32" s="305"/>
      <c r="AZ32" s="305"/>
      <c r="BA32" s="355">
        <v>0</v>
      </c>
    </row>
    <row r="33" spans="1:53" s="2254" customFormat="1" ht="18.75" hidden="1" customHeight="1">
      <c r="A33" s="1287"/>
      <c r="B33" s="1287"/>
      <c r="C33" s="1287"/>
      <c r="D33" s="1287"/>
      <c r="E33" s="1287"/>
      <c r="F33" s="1287"/>
      <c r="G33" s="1287"/>
      <c r="H33" s="1287"/>
      <c r="I33" s="1287"/>
      <c r="J33" s="1287"/>
      <c r="K33" s="1287"/>
      <c r="L33" s="1288"/>
      <c r="M33" s="1287"/>
      <c r="N33" s="1287"/>
      <c r="O33" s="1287"/>
      <c r="P33" s="1287"/>
      <c r="Q33" s="1287"/>
      <c r="S33" s="2475" t="s">
        <v>42</v>
      </c>
      <c r="T33" s="2475"/>
      <c r="U33" s="1291"/>
      <c r="V33" s="2476" t="str">
        <f>IF(TITLE_IST_PUB_CHANGE="",IF(TITLE_IST_PUB="","",TITLE_IST_PUB),TITLE_IST_PUB_CHANGE)</f>
        <v/>
      </c>
      <c r="W33" s="2476"/>
      <c r="X33" s="2476"/>
      <c r="Y33" s="2476"/>
      <c r="Z33" s="2476"/>
      <c r="AA33" s="263"/>
      <c r="AB33" s="2476" t="str">
        <f>IF(TITLE_IST_PUB_CHANGE="",IF(TITLE_IST_PUB="","",TITLE_IST_PUB),TITLE_IST_PUB_CHANGE)</f>
        <v/>
      </c>
      <c r="AC33" s="2476"/>
      <c r="AD33" s="2476"/>
      <c r="AE33" s="2476"/>
      <c r="AF33" s="2476"/>
      <c r="AG33" s="2476"/>
      <c r="AH33" s="2476"/>
      <c r="AI33" s="2476"/>
      <c r="AJ33" s="2476"/>
      <c r="AK33" s="2476"/>
      <c r="AL33" s="2476"/>
      <c r="AM33" s="2476"/>
      <c r="AN33" s="2476"/>
      <c r="AO33" s="2476"/>
      <c r="AP33" s="2476"/>
      <c r="AQ33" s="2476"/>
      <c r="AR33" s="2476"/>
      <c r="AS33" s="263"/>
      <c r="AT33" s="263"/>
      <c r="AU33" s="217"/>
      <c r="AV33" s="305"/>
      <c r="AW33" s="305"/>
      <c r="AX33" s="305"/>
      <c r="AY33" s="305"/>
      <c r="AZ33" s="305"/>
      <c r="BA33" s="355">
        <v>0</v>
      </c>
    </row>
    <row r="34" spans="1:53" ht="14.25" hidden="1" customHeight="1">
      <c r="Q34" s="228"/>
      <c r="R34" s="313"/>
      <c r="S34" s="1194"/>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74">
        <v>0</v>
      </c>
    </row>
    <row r="35" spans="1:53" s="2254" customFormat="1" ht="18.75" hidden="1" customHeight="1">
      <c r="A35" s="1287"/>
      <c r="B35" s="1287"/>
      <c r="C35" s="1287"/>
      <c r="D35" s="1287"/>
      <c r="E35" s="1287"/>
      <c r="F35" s="1287"/>
      <c r="G35" s="1287"/>
      <c r="H35" s="1287"/>
      <c r="I35" s="1287"/>
      <c r="J35" s="1287"/>
      <c r="K35" s="1287"/>
      <c r="L35" s="1288"/>
      <c r="M35" s="1287"/>
      <c r="N35" s="1287"/>
      <c r="O35" s="1287"/>
      <c r="P35" s="1287"/>
      <c r="Q35" s="1287"/>
      <c r="S35" s="2475" t="s">
        <v>421</v>
      </c>
      <c r="T35" s="2475"/>
      <c r="U35" s="1291"/>
      <c r="V35" s="2485" t="str">
        <f>IF(TITLE_DATE_PR_CHANGE="",IF(TITLE_DATE_PR="","",TITLE_DATE_PR),TITLE_DATE_PR_CHANGE)</f>
        <v/>
      </c>
      <c r="W35" s="2485"/>
      <c r="X35" s="2485"/>
      <c r="Y35" s="2485"/>
      <c r="Z35" s="2485"/>
      <c r="AA35" s="263"/>
      <c r="AB35" s="2485" t="str">
        <f>IF(TITLE_DATE_PR_CHANGE="",IF(TITLE_DATE_PR="","",TITLE_DATE_PR),TITLE_DATE_PR_CHANGE)</f>
        <v/>
      </c>
      <c r="AC35" s="2485"/>
      <c r="AD35" s="2485"/>
      <c r="AE35" s="2485"/>
      <c r="AF35" s="2485"/>
      <c r="AG35" s="2485"/>
      <c r="AH35" s="2485"/>
      <c r="AI35" s="2485"/>
      <c r="AJ35" s="2485"/>
      <c r="AK35" s="2485"/>
      <c r="AL35" s="2485"/>
      <c r="AM35" s="2485"/>
      <c r="AN35" s="2485"/>
      <c r="AO35" s="2485"/>
      <c r="AP35" s="2485"/>
      <c r="AQ35" s="2485"/>
      <c r="AR35" s="2485"/>
      <c r="AS35" s="263"/>
      <c r="AT35" s="263"/>
      <c r="AU35" s="217"/>
      <c r="AV35" s="305"/>
      <c r="AW35" s="305"/>
      <c r="AX35" s="305"/>
      <c r="AY35" s="305"/>
      <c r="AZ35" s="305"/>
      <c r="BA35" s="355">
        <v>0</v>
      </c>
    </row>
    <row r="36" spans="1:53" s="2254" customFormat="1" ht="18" hidden="1" customHeight="1">
      <c r="A36" s="1287"/>
      <c r="B36" s="1287"/>
      <c r="C36" s="1287"/>
      <c r="D36" s="1287"/>
      <c r="E36" s="1287"/>
      <c r="F36" s="1287"/>
      <c r="G36" s="1287"/>
      <c r="H36" s="1287"/>
      <c r="I36" s="1287"/>
      <c r="J36" s="1287"/>
      <c r="K36" s="1287"/>
      <c r="L36" s="1288"/>
      <c r="M36" s="1287"/>
      <c r="N36" s="1287"/>
      <c r="O36" s="1287"/>
      <c r="P36" s="1287"/>
      <c r="Q36" s="1287"/>
      <c r="S36" s="2475" t="s">
        <v>422</v>
      </c>
      <c r="T36" s="2475"/>
      <c r="U36" s="1291"/>
      <c r="V36" s="2476" t="str">
        <f>IF(TITLE_NUMBER_PR_CHANGE="",IF(TITLE_NUMBER_PR="","",TITLE_NUMBER_PR),TITLE_NUMBER_PR_CHANGE)</f>
        <v/>
      </c>
      <c r="W36" s="2476"/>
      <c r="X36" s="2476"/>
      <c r="Y36" s="2476"/>
      <c r="Z36" s="2476"/>
      <c r="AA36" s="263"/>
      <c r="AB36" s="2476" t="str">
        <f>IF(TITLE_NUMBER_PR_CHANGE="",IF(TITLE_NUMBER_PR="","",TITLE_NUMBER_PR),TITLE_NUMBER_PR_CHANGE)</f>
        <v/>
      </c>
      <c r="AC36" s="2476"/>
      <c r="AD36" s="2476"/>
      <c r="AE36" s="2476"/>
      <c r="AF36" s="2476"/>
      <c r="AG36" s="2476"/>
      <c r="AH36" s="2476"/>
      <c r="AI36" s="2476"/>
      <c r="AJ36" s="2476"/>
      <c r="AK36" s="2476"/>
      <c r="AL36" s="2476"/>
      <c r="AM36" s="2476"/>
      <c r="AN36" s="2476"/>
      <c r="AO36" s="2476"/>
      <c r="AP36" s="2476"/>
      <c r="AQ36" s="2476"/>
      <c r="AR36" s="2476"/>
      <c r="AS36" s="263"/>
      <c r="AT36" s="263"/>
      <c r="AU36" s="217"/>
      <c r="AV36" s="305"/>
      <c r="AW36" s="305"/>
      <c r="AX36" s="305"/>
      <c r="AY36" s="305"/>
      <c r="AZ36" s="305"/>
      <c r="BA36" s="355">
        <v>0</v>
      </c>
    </row>
    <row r="37" spans="1:53" s="2254" customFormat="1" ht="1.1499999999999999" customHeight="1">
      <c r="A37" s="1287"/>
      <c r="B37" s="1287"/>
      <c r="C37" s="1287"/>
      <c r="D37" s="1287"/>
      <c r="E37" s="1287"/>
      <c r="F37" s="1287"/>
      <c r="G37" s="1287"/>
      <c r="H37" s="1287"/>
      <c r="I37" s="1287"/>
      <c r="J37" s="1287"/>
      <c r="K37" s="1287"/>
      <c r="L37" s="1288"/>
      <c r="M37" s="1287"/>
      <c r="N37" s="1287"/>
      <c r="O37" s="1287"/>
      <c r="P37" s="1287"/>
      <c r="Q37" s="1287"/>
      <c r="S37" s="260"/>
      <c r="T37" s="260"/>
      <c r="U37" s="1259"/>
      <c r="V37" s="263"/>
      <c r="W37" s="263"/>
      <c r="X37" s="263"/>
      <c r="Y37" s="263"/>
      <c r="Z37" s="263"/>
      <c r="AA37" s="215" t="s">
        <v>425</v>
      </c>
      <c r="AB37" s="263"/>
      <c r="AC37" s="263"/>
      <c r="AD37" s="263"/>
      <c r="AE37" s="263"/>
      <c r="AF37" s="263"/>
      <c r="AG37" s="263"/>
      <c r="AH37" s="263"/>
      <c r="AI37" s="263"/>
      <c r="AJ37" s="263"/>
      <c r="AK37" s="263"/>
      <c r="AL37" s="263"/>
      <c r="AM37" s="263"/>
      <c r="AN37" s="263"/>
      <c r="AO37" s="263"/>
      <c r="AP37" s="263"/>
      <c r="AQ37" s="263"/>
      <c r="AR37" s="263"/>
      <c r="AS37" s="215" t="s">
        <v>425</v>
      </c>
      <c r="AV37" s="305"/>
      <c r="AW37" s="305"/>
      <c r="AX37" s="305"/>
      <c r="AY37" s="305"/>
      <c r="AZ37" s="305"/>
      <c r="BA37" s="355">
        <v>1</v>
      </c>
    </row>
    <row r="38" spans="1:53" ht="14.65" customHeight="1">
      <c r="Q38" s="228"/>
      <c r="R38" s="313"/>
      <c r="S38" s="1194"/>
      <c r="T38" s="300"/>
      <c r="U38" s="1163"/>
      <c r="V38" s="2477"/>
      <c r="W38" s="2477"/>
      <c r="X38" s="2477"/>
      <c r="Y38" s="2477"/>
      <c r="Z38" s="2477"/>
      <c r="AA38" s="2477"/>
      <c r="AB38" s="2477"/>
      <c r="AC38" s="2477"/>
      <c r="AD38" s="2477"/>
      <c r="AE38" s="2477"/>
      <c r="AF38" s="2477"/>
      <c r="AG38" s="2477"/>
      <c r="AH38" s="2477"/>
      <c r="AI38" s="2477"/>
      <c r="AJ38" s="2477"/>
      <c r="AK38" s="2477"/>
      <c r="AL38" s="2477"/>
      <c r="AM38" s="2477"/>
      <c r="AN38" s="2477"/>
      <c r="AO38" s="2477"/>
      <c r="AP38" s="2477"/>
      <c r="AQ38" s="2477"/>
      <c r="AR38" s="2477"/>
      <c r="AS38" s="2477"/>
      <c r="BA38" s="1074">
        <v>14</v>
      </c>
    </row>
    <row r="39" spans="1:53" ht="14.65" customHeight="1">
      <c r="Q39" s="228"/>
      <c r="R39" s="313"/>
      <c r="S39" s="2363" t="s">
        <v>298</v>
      </c>
      <c r="T39" s="2363"/>
      <c r="U39" s="2363"/>
      <c r="V39" s="2363"/>
      <c r="W39" s="2363"/>
      <c r="X39" s="2363"/>
      <c r="Y39" s="2363"/>
      <c r="Z39" s="2363"/>
      <c r="AA39" s="2363"/>
      <c r="AB39" s="2411"/>
      <c r="AC39" s="2411"/>
      <c r="AD39" s="2411"/>
      <c r="AE39" s="2411"/>
      <c r="AF39" s="2363"/>
      <c r="AG39" s="2363"/>
      <c r="AH39" s="2363"/>
      <c r="AI39" s="2363"/>
      <c r="AJ39" s="2363"/>
      <c r="AK39" s="2363"/>
      <c r="AL39" s="2363"/>
      <c r="AM39" s="2363"/>
      <c r="AN39" s="2363"/>
      <c r="AO39" s="2363"/>
      <c r="AP39" s="2363"/>
      <c r="AQ39" s="2363"/>
      <c r="AR39" s="2363"/>
      <c r="AS39" s="2363"/>
      <c r="AT39" s="2363"/>
      <c r="AU39" s="2363" t="s">
        <v>299</v>
      </c>
      <c r="BA39" s="1074">
        <v>14</v>
      </c>
    </row>
    <row r="40" spans="1:53" ht="14.65" customHeight="1">
      <c r="Q40" s="228"/>
      <c r="R40" s="313"/>
      <c r="S40" s="2491" t="s">
        <v>87</v>
      </c>
      <c r="T40" s="2442" t="s">
        <v>471</v>
      </c>
      <c r="U40" s="238"/>
      <c r="V40" s="2493"/>
      <c r="W40" s="2493"/>
      <c r="X40" s="2493"/>
      <c r="Y40" s="2493"/>
      <c r="Z40" s="2494"/>
      <c r="AA40" s="2536" t="s">
        <v>428</v>
      </c>
      <c r="AB40" s="2528" t="s">
        <v>472</v>
      </c>
      <c r="AC40" s="2509"/>
      <c r="AD40" s="2509"/>
      <c r="AE40" s="2529"/>
      <c r="AF40" s="2509" t="s">
        <v>473</v>
      </c>
      <c r="AG40" s="2509"/>
      <c r="AH40" s="2509"/>
      <c r="AI40" s="2529"/>
      <c r="AJ40" s="2528" t="s">
        <v>474</v>
      </c>
      <c r="AK40" s="2509"/>
      <c r="AL40" s="2509"/>
      <c r="AM40" s="2529"/>
      <c r="AN40" s="2528" t="s">
        <v>427</v>
      </c>
      <c r="AO40" s="2509"/>
      <c r="AP40" s="2493"/>
      <c r="AQ40" s="2493"/>
      <c r="AR40" s="2494"/>
      <c r="AS40" s="2495" t="s">
        <v>428</v>
      </c>
      <c r="AT40" s="2498" t="s">
        <v>430</v>
      </c>
      <c r="AU40" s="2363"/>
      <c r="BA40" s="1074">
        <v>14</v>
      </c>
    </row>
    <row r="41" spans="1:53" ht="35.65" customHeight="1">
      <c r="Q41" s="228"/>
      <c r="R41" s="313"/>
      <c r="S41" s="2491"/>
      <c r="T41" s="2442"/>
      <c r="U41" s="955"/>
      <c r="V41" s="2363" t="s">
        <v>475</v>
      </c>
      <c r="W41" s="2363"/>
      <c r="X41" s="2428" t="s">
        <v>434</v>
      </c>
      <c r="Y41" s="2523"/>
      <c r="Z41" s="2429"/>
      <c r="AA41" s="2537"/>
      <c r="AB41" s="2530"/>
      <c r="AC41" s="2531"/>
      <c r="AD41" s="2531"/>
      <c r="AE41" s="2532"/>
      <c r="AF41" s="2531"/>
      <c r="AG41" s="2531"/>
      <c r="AH41" s="2531"/>
      <c r="AI41" s="2532"/>
      <c r="AJ41" s="2530"/>
      <c r="AK41" s="2531"/>
      <c r="AL41" s="2531"/>
      <c r="AM41" s="2531"/>
      <c r="AN41" s="2363" t="s">
        <v>475</v>
      </c>
      <c r="AO41" s="2363"/>
      <c r="AP41" s="2523" t="s">
        <v>434</v>
      </c>
      <c r="AQ41" s="2523"/>
      <c r="AR41" s="2429"/>
      <c r="AS41" s="2496"/>
      <c r="AT41" s="2499"/>
      <c r="AU41" s="2363"/>
      <c r="BA41" s="1074">
        <v>34</v>
      </c>
    </row>
    <row r="42" spans="1:53" ht="14.65" customHeight="1">
      <c r="Q42" s="228"/>
      <c r="R42" s="313"/>
      <c r="S42" s="2491"/>
      <c r="T42" s="2442"/>
      <c r="U42" s="955"/>
      <c r="V42" s="2540" t="str">
        <f>IF($AN$42&lt;&gt;"",$AN$42,"")</f>
        <v/>
      </c>
      <c r="W42" s="2540"/>
      <c r="X42" s="2433"/>
      <c r="Y42" s="2524"/>
      <c r="Z42" s="2434"/>
      <c r="AA42" s="2537"/>
      <c r="AB42" s="2530"/>
      <c r="AC42" s="2531"/>
      <c r="AD42" s="2531"/>
      <c r="AE42" s="2532"/>
      <c r="AF42" s="2531"/>
      <c r="AG42" s="2531"/>
      <c r="AH42" s="2531"/>
      <c r="AI42" s="2532"/>
      <c r="AJ42" s="2530"/>
      <c r="AK42" s="2531"/>
      <c r="AL42" s="2531"/>
      <c r="AM42" s="2531"/>
      <c r="AN42" s="2539"/>
      <c r="AO42" s="2539"/>
      <c r="AP42" s="2524"/>
      <c r="AQ42" s="2524"/>
      <c r="AR42" s="2434"/>
      <c r="AS42" s="2496"/>
      <c r="AT42" s="2499"/>
      <c r="AU42" s="2363"/>
      <c r="BA42" s="1074">
        <v>14</v>
      </c>
    </row>
    <row r="43" spans="1:53" ht="14.65" customHeight="1">
      <c r="A43" s="1289"/>
      <c r="B43" s="1289" t="s">
        <v>135</v>
      </c>
      <c r="C43" s="1289" t="s">
        <v>136</v>
      </c>
      <c r="D43" s="1289" t="s">
        <v>137</v>
      </c>
      <c r="E43" s="1283" t="s">
        <v>435</v>
      </c>
      <c r="F43" s="1283" t="s">
        <v>436</v>
      </c>
      <c r="G43" s="1283" t="s">
        <v>437</v>
      </c>
      <c r="H43" s="1283" t="s">
        <v>438</v>
      </c>
      <c r="I43" s="1283" t="s">
        <v>439</v>
      </c>
      <c r="J43" s="1283" t="s">
        <v>440</v>
      </c>
      <c r="K43" s="1283" t="s">
        <v>441</v>
      </c>
      <c r="L43" s="1283" t="s">
        <v>416</v>
      </c>
      <c r="Q43" s="228"/>
      <c r="R43" s="313"/>
      <c r="S43" s="2491"/>
      <c r="T43" s="2442"/>
      <c r="U43" s="239"/>
      <c r="V43" s="1249" t="s">
        <v>476</v>
      </c>
      <c r="W43" s="1249" t="s">
        <v>477</v>
      </c>
      <c r="X43" s="1257" t="s">
        <v>444</v>
      </c>
      <c r="Y43" s="2451" t="s">
        <v>445</v>
      </c>
      <c r="Z43" s="2453"/>
      <c r="AA43" s="2538"/>
      <c r="AB43" s="2533"/>
      <c r="AC43" s="2534"/>
      <c r="AD43" s="2534"/>
      <c r="AE43" s="2535"/>
      <c r="AF43" s="2534"/>
      <c r="AG43" s="2534"/>
      <c r="AH43" s="2534"/>
      <c r="AI43" s="2535"/>
      <c r="AJ43" s="2533"/>
      <c r="AK43" s="2534"/>
      <c r="AL43" s="2534"/>
      <c r="AM43" s="2535"/>
      <c r="AN43" s="1776" t="s">
        <v>476</v>
      </c>
      <c r="AO43" s="1776" t="s">
        <v>477</v>
      </c>
      <c r="AP43" s="1257" t="s">
        <v>444</v>
      </c>
      <c r="AQ43" s="2451" t="s">
        <v>445</v>
      </c>
      <c r="AR43" s="2453"/>
      <c r="AS43" s="2497"/>
      <c r="AT43" s="2500"/>
      <c r="AU43" s="2363"/>
      <c r="BA43" s="1074">
        <v>14</v>
      </c>
    </row>
    <row r="44" spans="1:53" s="2269" customFormat="1" ht="11.25" hidden="1" customHeight="1">
      <c r="A44" s="1289"/>
      <c r="B44" s="1289"/>
      <c r="C44" s="1289"/>
      <c r="D44" s="1289"/>
      <c r="E44" s="1289"/>
      <c r="F44" s="1289"/>
      <c r="G44" s="1289"/>
      <c r="H44" s="1289"/>
      <c r="I44" s="1289"/>
      <c r="J44" s="1289"/>
      <c r="K44" s="1289"/>
      <c r="L44" s="1283"/>
      <c r="M44" s="1281"/>
      <c r="N44" s="1281"/>
      <c r="O44" s="1281"/>
      <c r="P44" s="447"/>
      <c r="Q44" s="1173"/>
      <c r="R44" s="1173">
        <v>1</v>
      </c>
      <c r="S44" s="1196" t="s">
        <v>108</v>
      </c>
      <c r="T44" s="1174" t="s">
        <v>109</v>
      </c>
      <c r="U44" s="1164" t="str">
        <f ca="1">OFFSET(U44,0,-1)</f>
        <v>2</v>
      </c>
      <c r="V44" s="1254">
        <f ca="1">OFFSET(V44,0,-1)+1</f>
        <v>3</v>
      </c>
      <c r="W44" s="1254">
        <f ca="1">OFFSET(W44,0,-1)+1</f>
        <v>4</v>
      </c>
      <c r="X44" s="1254">
        <f ca="1">OFFSET(X44,0,-1)+1</f>
        <v>5</v>
      </c>
      <c r="Y44" s="2490">
        <f ca="1">OFFSET(Y44,0,-1)+1</f>
        <v>6</v>
      </c>
      <c r="Z44" s="2490"/>
      <c r="AA44" s="1254">
        <f ca="1">OFFSET(AA44,0,-2)+1</f>
        <v>7</v>
      </c>
      <c r="AB44" s="1260">
        <f ca="1">OFFSET(AB44,0,-1)+1</f>
        <v>8</v>
      </c>
      <c r="AC44" s="1260"/>
      <c r="AD44" s="1260"/>
      <c r="AE44" s="1260"/>
      <c r="AF44" s="1254"/>
      <c r="AG44" s="1254"/>
      <c r="AH44" s="1254"/>
      <c r="AI44" s="1254"/>
      <c r="AJ44" s="1254"/>
      <c r="AK44" s="1254"/>
      <c r="AL44" s="1254"/>
      <c r="AM44" s="1254"/>
      <c r="AN44" s="1254">
        <f ca="1">OFFSET(AN44,0,-1)+1</f>
        <v>1</v>
      </c>
      <c r="AO44" s="1254">
        <f ca="1">OFFSET(AO44,0,-1)+1</f>
        <v>2</v>
      </c>
      <c r="AP44" s="1254">
        <f ca="1">OFFSET(AP44,0,-1)+1</f>
        <v>3</v>
      </c>
      <c r="AQ44" s="2490">
        <f ca="1">OFFSET(AQ44,0,-1)+1</f>
        <v>4</v>
      </c>
      <c r="AR44" s="2490"/>
      <c r="AS44" s="1254">
        <f ca="1">OFFSET(AS44,0,-2)+1</f>
        <v>5</v>
      </c>
      <c r="AT44" s="1164">
        <f ca="1">OFFSET(AT44,0,-1)</f>
        <v>5</v>
      </c>
      <c r="AU44" s="1254">
        <f ca="1">OFFSET(AU44,0,-1)+1</f>
        <v>6</v>
      </c>
      <c r="AV44" s="448"/>
      <c r="AW44" s="448"/>
      <c r="AX44" s="448"/>
      <c r="AY44" s="448"/>
      <c r="AZ44" s="448"/>
      <c r="BA44" s="433">
        <v>0</v>
      </c>
    </row>
    <row r="45" spans="1:53" ht="107.25" customHeight="1">
      <c r="A45" s="1282" t="s">
        <v>198</v>
      </c>
      <c r="B45" s="1282"/>
      <c r="C45" s="1282"/>
      <c r="D45" s="1282"/>
      <c r="E45" s="2483">
        <v>1</v>
      </c>
      <c r="F45" s="1282"/>
      <c r="G45" s="1282"/>
      <c r="H45" s="1282"/>
      <c r="I45" s="1282"/>
      <c r="J45" s="1282"/>
      <c r="K45" s="1282"/>
      <c r="L45" s="1283"/>
      <c r="M45" s="1284"/>
      <c r="N45" s="1284"/>
      <c r="O45" s="1284"/>
      <c r="P45" s="1328"/>
      <c r="Q45" s="800"/>
      <c r="R45" s="292"/>
      <c r="S45" s="1255">
        <f>INDEX(PT_DIFFERENTIATION_NUM_NTAR,MATCH(A45,PT_DIFFERENTIATION_NTAR_ID,0))</f>
        <v>0</v>
      </c>
      <c r="T45" s="235" t="s">
        <v>123</v>
      </c>
      <c r="U45" s="237"/>
      <c r="V45" s="2470"/>
      <c r="W45" s="2470"/>
      <c r="X45" s="2470"/>
      <c r="Y45" s="2470"/>
      <c r="Z45" s="2470"/>
      <c r="AA45" s="2471"/>
      <c r="AB45" s="2469" t="str">
        <f>INDEX(PT_DIFFERENTIATION_NTAR,MATCH(A45,PT_DIFFERENTIATION_NTAR_ID,0))</f>
        <v/>
      </c>
      <c r="AC45" s="2470"/>
      <c r="AD45" s="2470"/>
      <c r="AE45" s="2470"/>
      <c r="AF45" s="2470"/>
      <c r="AG45" s="2470"/>
      <c r="AH45" s="2470"/>
      <c r="AI45" s="2470"/>
      <c r="AJ45" s="2470"/>
      <c r="AK45" s="2470"/>
      <c r="AL45" s="2470"/>
      <c r="AM45" s="2470"/>
      <c r="AN45" s="2470"/>
      <c r="AO45" s="2470"/>
      <c r="AP45" s="2470"/>
      <c r="AQ45" s="2470"/>
      <c r="AR45" s="2470"/>
      <c r="AS45" s="2470"/>
      <c r="AT45" s="2471"/>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74">
        <v>102</v>
      </c>
    </row>
    <row r="46" spans="1:53" ht="21.95" customHeight="1">
      <c r="A46" s="1282" t="s">
        <v>198</v>
      </c>
      <c r="B46" s="1282" t="s">
        <v>199</v>
      </c>
      <c r="C46" s="1282"/>
      <c r="D46" s="1282"/>
      <c r="E46" s="2484"/>
      <c r="F46" s="2483">
        <v>1</v>
      </c>
      <c r="G46" s="1282"/>
      <c r="H46" s="1282"/>
      <c r="I46" s="1282"/>
      <c r="J46" s="1282"/>
      <c r="K46" s="1282"/>
      <c r="L46" s="1283"/>
      <c r="M46" s="1284"/>
      <c r="N46" s="1284"/>
      <c r="O46" s="1284"/>
      <c r="P46" s="1329"/>
      <c r="Q46" s="1330"/>
      <c r="R46" s="290"/>
      <c r="S46" s="1255" t="str">
        <f>INDEX(PT_DIFFERENTIATION_NUM_TER,MATCH(B46,PT_DIFFERENTIATION_TER_ID,0))</f>
        <v>.</v>
      </c>
      <c r="T46" s="245" t="s">
        <v>395</v>
      </c>
      <c r="U46" s="237"/>
      <c r="V46" s="2470"/>
      <c r="W46" s="2470"/>
      <c r="X46" s="2470"/>
      <c r="Y46" s="2470"/>
      <c r="Z46" s="2470"/>
      <c r="AA46" s="2471"/>
      <c r="AB46" s="2469" t="str">
        <f>INDEX(PT_DIFFERENTIATION_TER,MATCH(B46,PT_DIFFERENTIATION_TER_ID,0))</f>
        <v/>
      </c>
      <c r="AC46" s="2470"/>
      <c r="AD46" s="2470"/>
      <c r="AE46" s="2470"/>
      <c r="AF46" s="2470"/>
      <c r="AG46" s="2470"/>
      <c r="AH46" s="2470"/>
      <c r="AI46" s="2470"/>
      <c r="AJ46" s="2470"/>
      <c r="AK46" s="2470"/>
      <c r="AL46" s="2470"/>
      <c r="AM46" s="2470"/>
      <c r="AN46" s="2470"/>
      <c r="AO46" s="2470"/>
      <c r="AP46" s="2470"/>
      <c r="AQ46" s="2470"/>
      <c r="AR46" s="2470"/>
      <c r="AS46" s="2470"/>
      <c r="AT46" s="2471"/>
      <c r="AU46" s="1177" t="s">
        <v>396</v>
      </c>
      <c r="AW46" s="437"/>
      <c r="AX46" s="437" t="str">
        <f t="shared" si="2"/>
        <v>Территория действия тарифа</v>
      </c>
      <c r="AY46" s="437"/>
      <c r="AZ46" s="437"/>
      <c r="BA46" s="1074">
        <v>21</v>
      </c>
    </row>
    <row r="47" spans="1:53" ht="24" customHeight="1">
      <c r="A47" s="1282" t="s">
        <v>198</v>
      </c>
      <c r="B47" s="1282" t="s">
        <v>199</v>
      </c>
      <c r="C47" s="1282" t="s">
        <v>200</v>
      </c>
      <c r="D47" s="1282"/>
      <c r="E47" s="2484"/>
      <c r="F47" s="2484"/>
      <c r="G47" s="2483">
        <v>1</v>
      </c>
      <c r="H47" s="1282"/>
      <c r="I47" s="1282"/>
      <c r="J47" s="1282"/>
      <c r="K47" s="1282"/>
      <c r="L47" s="1283"/>
      <c r="M47" s="1284"/>
      <c r="N47" s="1284"/>
      <c r="O47" s="1284"/>
      <c r="P47" s="1331"/>
      <c r="Q47" s="1330"/>
      <c r="R47" s="290"/>
      <c r="S47" s="1255" t="str">
        <f>INDEX(PT_DIFFERENTIATION_NUM_CS,MATCH(C47,PT_DIFFERENTIATION_CS_ID,0))</f>
        <v>..</v>
      </c>
      <c r="T47" s="246" t="s">
        <v>397</v>
      </c>
      <c r="U47" s="237"/>
      <c r="V47" s="2470"/>
      <c r="W47" s="2470"/>
      <c r="X47" s="2470"/>
      <c r="Y47" s="2470"/>
      <c r="Z47" s="2470"/>
      <c r="AA47" s="2471"/>
      <c r="AB47" s="2469" t="str">
        <f>INDEX(PT_DIFFERENTIATION_CS,MATCH(C47,PT_DIFFERENTIATION_CS_ID,0))</f>
        <v/>
      </c>
      <c r="AC47" s="2470"/>
      <c r="AD47" s="2470"/>
      <c r="AE47" s="2470"/>
      <c r="AF47" s="2470"/>
      <c r="AG47" s="2470"/>
      <c r="AH47" s="2470"/>
      <c r="AI47" s="2470"/>
      <c r="AJ47" s="2470"/>
      <c r="AK47" s="2470"/>
      <c r="AL47" s="2470"/>
      <c r="AM47" s="2470"/>
      <c r="AN47" s="2470"/>
      <c r="AO47" s="2470"/>
      <c r="AP47" s="2470"/>
      <c r="AQ47" s="2470"/>
      <c r="AR47" s="2470"/>
      <c r="AS47" s="2470"/>
      <c r="AT47" s="2471"/>
      <c r="AU47" s="1177" t="s">
        <v>398</v>
      </c>
      <c r="AW47" s="437"/>
      <c r="AX47" s="437" t="str">
        <f t="shared" si="2"/>
        <v xml:space="preserve">Наименование системы теплоснабжения </v>
      </c>
      <c r="AY47" s="437"/>
      <c r="AZ47" s="437"/>
      <c r="BA47" s="1074">
        <v>23</v>
      </c>
    </row>
    <row r="48" spans="1:53" ht="21" customHeight="1">
      <c r="A48" s="1282" t="s">
        <v>198</v>
      </c>
      <c r="B48" s="1282" t="s">
        <v>199</v>
      </c>
      <c r="C48" s="1282" t="s">
        <v>200</v>
      </c>
      <c r="D48" s="1282" t="s">
        <v>201</v>
      </c>
      <c r="E48" s="2484"/>
      <c r="F48" s="2484"/>
      <c r="G48" s="2484"/>
      <c r="H48" s="2483">
        <v>1</v>
      </c>
      <c r="I48" s="1282"/>
      <c r="J48" s="1282"/>
      <c r="K48" s="1282"/>
      <c r="L48" s="1283"/>
      <c r="M48" s="1284"/>
      <c r="N48" s="1284"/>
      <c r="O48" s="1284"/>
      <c r="P48" s="1331"/>
      <c r="Q48" s="1330"/>
      <c r="R48" s="290"/>
      <c r="S48" s="1255" t="str">
        <f>INDEX(PT_DIFFERENTIATION_NUM_IST_TE,MATCH(D48,PT_DIFFERENTIATION_IST_TE_ID,0))</f>
        <v>...</v>
      </c>
      <c r="T48" s="247" t="s">
        <v>399</v>
      </c>
      <c r="U48" s="237"/>
      <c r="V48" s="2470"/>
      <c r="W48" s="2470"/>
      <c r="X48" s="2470"/>
      <c r="Y48" s="2470"/>
      <c r="Z48" s="2470"/>
      <c r="AA48" s="2471"/>
      <c r="AB48" s="2469" t="str">
        <f>INDEX(PT_DIFFERENTIATION_IST_TE,MATCH(D48,PT_DIFFERENTIATION_IST_TE_ID,0))</f>
        <v/>
      </c>
      <c r="AC48" s="2470"/>
      <c r="AD48" s="2470"/>
      <c r="AE48" s="2470"/>
      <c r="AF48" s="2470"/>
      <c r="AG48" s="2470"/>
      <c r="AH48" s="2470"/>
      <c r="AI48" s="2470"/>
      <c r="AJ48" s="2470"/>
      <c r="AK48" s="2470"/>
      <c r="AL48" s="2470"/>
      <c r="AM48" s="2470"/>
      <c r="AN48" s="2470"/>
      <c r="AO48" s="2470"/>
      <c r="AP48" s="2470"/>
      <c r="AQ48" s="2470"/>
      <c r="AR48" s="2470"/>
      <c r="AS48" s="2470"/>
      <c r="AT48" s="2471"/>
      <c r="AU48" s="1177" t="s">
        <v>400</v>
      </c>
      <c r="AW48" s="437"/>
      <c r="AX48" s="437" t="str">
        <f t="shared" si="2"/>
        <v xml:space="preserve">Источник тепловой энергии  </v>
      </c>
      <c r="AY48" s="437"/>
      <c r="AZ48" s="437"/>
      <c r="BA48" s="1074">
        <v>20</v>
      </c>
    </row>
    <row r="49" spans="1:53" s="2245" customFormat="1" ht="1.1499999999999999" customHeight="1">
      <c r="A49" s="1262" t="s">
        <v>198</v>
      </c>
      <c r="B49" s="1262" t="s">
        <v>199</v>
      </c>
      <c r="C49" s="1262" t="s">
        <v>200</v>
      </c>
      <c r="D49" s="1262" t="s">
        <v>201</v>
      </c>
      <c r="E49" s="2484"/>
      <c r="F49" s="2484"/>
      <c r="G49" s="2484"/>
      <c r="H49" s="2484"/>
      <c r="I49" s="2481" t="str">
        <f>S48&amp;".1"</f>
        <v>....1</v>
      </c>
      <c r="J49" s="1262"/>
      <c r="K49" s="1262"/>
      <c r="L49" s="1265" t="s">
        <v>401</v>
      </c>
      <c r="M49" s="447"/>
      <c r="N49" s="447"/>
      <c r="O49" s="447"/>
      <c r="P49" s="2482">
        <v>1</v>
      </c>
      <c r="Q49" s="1250"/>
      <c r="R49" s="293"/>
      <c r="S49" s="966"/>
      <c r="T49" s="1302"/>
      <c r="U49" s="1303"/>
      <c r="V49" s="2513"/>
      <c r="W49" s="2513"/>
      <c r="X49" s="2513"/>
      <c r="Y49" s="2513"/>
      <c r="Z49" s="2513"/>
      <c r="AA49" s="2514"/>
      <c r="AB49" s="2512"/>
      <c r="AC49" s="2513"/>
      <c r="AD49" s="2513"/>
      <c r="AE49" s="2513"/>
      <c r="AF49" s="2513"/>
      <c r="AG49" s="2513"/>
      <c r="AH49" s="2513"/>
      <c r="AI49" s="2513"/>
      <c r="AJ49" s="2513"/>
      <c r="AK49" s="2513"/>
      <c r="AL49" s="2513"/>
      <c r="AM49" s="2513"/>
      <c r="AN49" s="2513"/>
      <c r="AO49" s="2513"/>
      <c r="AP49" s="2513"/>
      <c r="AQ49" s="2513"/>
      <c r="AR49" s="2513"/>
      <c r="AS49" s="2513"/>
      <c r="AT49" s="2514"/>
      <c r="AU49" s="1304"/>
      <c r="AW49" s="437"/>
      <c r="AX49" s="437" t="str">
        <f t="shared" si="2"/>
        <v/>
      </c>
      <c r="AY49" s="437"/>
      <c r="AZ49" s="437"/>
      <c r="BA49" s="448">
        <v>1</v>
      </c>
    </row>
    <row r="50" spans="1:53" s="2245" customFormat="1" ht="1.1499999999999999" customHeight="1">
      <c r="A50" s="1262" t="s">
        <v>198</v>
      </c>
      <c r="B50" s="1262" t="s">
        <v>199</v>
      </c>
      <c r="C50" s="1262" t="s">
        <v>200</v>
      </c>
      <c r="D50" s="1262" t="s">
        <v>201</v>
      </c>
      <c r="E50" s="2484"/>
      <c r="F50" s="2484"/>
      <c r="G50" s="2484"/>
      <c r="H50" s="2484"/>
      <c r="I50" s="2504"/>
      <c r="J50" s="2481" t="str">
        <f>S48&amp;".1"</f>
        <v>....1</v>
      </c>
      <c r="K50" s="1262"/>
      <c r="L50" s="1265"/>
      <c r="M50" s="447"/>
      <c r="N50" s="447"/>
      <c r="O50" s="447"/>
      <c r="P50" s="2482"/>
      <c r="Q50" s="2482">
        <v>1</v>
      </c>
      <c r="R50" s="294"/>
      <c r="S50" s="966"/>
      <c r="T50" s="1318"/>
      <c r="U50" s="1303"/>
      <c r="V50" s="2513"/>
      <c r="W50" s="2513"/>
      <c r="X50" s="2513"/>
      <c r="Y50" s="2513"/>
      <c r="Z50" s="2513"/>
      <c r="AA50" s="2514"/>
      <c r="AB50" s="2512"/>
      <c r="AC50" s="2513"/>
      <c r="AD50" s="2513"/>
      <c r="AE50" s="2513"/>
      <c r="AF50" s="2513"/>
      <c r="AG50" s="2513"/>
      <c r="AH50" s="2513"/>
      <c r="AI50" s="2513"/>
      <c r="AJ50" s="2513"/>
      <c r="AK50" s="2513"/>
      <c r="AL50" s="2513"/>
      <c r="AM50" s="2513"/>
      <c r="AN50" s="2513"/>
      <c r="AO50" s="2513"/>
      <c r="AP50" s="2513"/>
      <c r="AQ50" s="2513"/>
      <c r="AR50" s="2513"/>
      <c r="AS50" s="2513"/>
      <c r="AT50" s="2514"/>
      <c r="AU50" s="1304"/>
      <c r="AW50" s="437"/>
      <c r="AX50" s="437" t="str">
        <f t="shared" si="2"/>
        <v/>
      </c>
      <c r="AY50" s="437"/>
      <c r="AZ50" s="437"/>
      <c r="BA50" s="448">
        <v>1</v>
      </c>
    </row>
    <row r="51" spans="1:53" ht="21.95" customHeight="1">
      <c r="A51" s="1282" t="s">
        <v>198</v>
      </c>
      <c r="B51" s="1282" t="s">
        <v>199</v>
      </c>
      <c r="C51" s="1282" t="s">
        <v>200</v>
      </c>
      <c r="D51" s="1282" t="s">
        <v>201</v>
      </c>
      <c r="E51" s="2484"/>
      <c r="F51" s="2484"/>
      <c r="G51" s="2484"/>
      <c r="H51" s="2484"/>
      <c r="I51" s="2504"/>
      <c r="J51" s="2504"/>
      <c r="K51" s="2481" t="str">
        <f>S48&amp;".1"</f>
        <v>....1</v>
      </c>
      <c r="L51" s="1283"/>
      <c r="P51" s="2482"/>
      <c r="Q51" s="2482"/>
      <c r="R51" s="294">
        <v>1</v>
      </c>
      <c r="S51" s="2541" t="str">
        <f>$K51</f>
        <v>....1</v>
      </c>
      <c r="T51" s="2544"/>
      <c r="U51" s="237"/>
      <c r="V51" s="688"/>
      <c r="W51" s="1176"/>
      <c r="X51" s="1652"/>
      <c r="Y51" s="1378" t="s">
        <v>64</v>
      </c>
      <c r="Z51" s="1652"/>
      <c r="AA51" s="1378" t="s">
        <v>64</v>
      </c>
      <c r="AB51" s="2344" t="s">
        <v>19</v>
      </c>
      <c r="AC51" s="2526"/>
      <c r="AD51" s="2438">
        <v>1</v>
      </c>
      <c r="AE51" s="2548" t="s">
        <v>22</v>
      </c>
      <c r="AF51" s="2344" t="s">
        <v>19</v>
      </c>
      <c r="AG51" s="2526"/>
      <c r="AH51" s="2438">
        <v>1</v>
      </c>
      <c r="AI51" s="2548" t="s">
        <v>22</v>
      </c>
      <c r="AJ51" s="2344" t="s">
        <v>19</v>
      </c>
      <c r="AK51" s="248"/>
      <c r="AL51" s="1256">
        <v>1</v>
      </c>
      <c r="AM51" s="1321"/>
      <c r="AN51" s="688"/>
      <c r="AO51" s="1176"/>
      <c r="AP51" s="1652"/>
      <c r="AQ51" s="1378" t="s">
        <v>64</v>
      </c>
      <c r="AR51" s="1652"/>
      <c r="AS51" s="1378" t="s">
        <v>64</v>
      </c>
      <c r="AT51" s="1267"/>
      <c r="AU51" s="2478" t="s">
        <v>478</v>
      </c>
      <c r="AV51" s="448" t="e">
        <f ca="1">STRCHECKDATE(V54:AT54)</f>
        <v>#NAME?</v>
      </c>
      <c r="AW51" s="437"/>
      <c r="AX51" s="437" t="str">
        <f t="shared" si="2"/>
        <v/>
      </c>
      <c r="AY51" s="437"/>
      <c r="AZ51" s="437"/>
      <c r="BA51" s="1074">
        <v>21</v>
      </c>
    </row>
    <row r="52" spans="1:53" ht="11.45" customHeight="1">
      <c r="A52" s="1282" t="s">
        <v>198</v>
      </c>
      <c r="B52" s="1282"/>
      <c r="C52" s="1282"/>
      <c r="D52" s="1282"/>
      <c r="E52" s="2484"/>
      <c r="F52" s="2484"/>
      <c r="G52" s="2484"/>
      <c r="H52" s="2484"/>
      <c r="I52" s="2504"/>
      <c r="J52" s="2504"/>
      <c r="K52" s="2481"/>
      <c r="L52" s="1283"/>
      <c r="P52" s="2482"/>
      <c r="Q52" s="2482"/>
      <c r="R52" s="294"/>
      <c r="S52" s="2542"/>
      <c r="T52" s="2545"/>
      <c r="U52" s="237"/>
      <c r="V52" s="1312"/>
      <c r="W52" s="1415"/>
      <c r="X52" s="1312"/>
      <c r="Y52" s="1312"/>
      <c r="Z52" s="1312"/>
      <c r="AA52" s="1312"/>
      <c r="AB52" s="2344"/>
      <c r="AC52" s="2526"/>
      <c r="AD52" s="2438"/>
      <c r="AE52" s="2548"/>
      <c r="AF52" s="2344"/>
      <c r="AG52" s="2526"/>
      <c r="AH52" s="2438"/>
      <c r="AI52" s="2548"/>
      <c r="AJ52" s="2344"/>
      <c r="AK52" s="253"/>
      <c r="AL52" s="353"/>
      <c r="AM52" s="352" t="s">
        <v>463</v>
      </c>
      <c r="AN52" s="1312"/>
      <c r="AO52" s="1415"/>
      <c r="AP52" s="1312"/>
      <c r="AQ52" s="1312"/>
      <c r="AR52" s="1312"/>
      <c r="AS52" s="1312"/>
      <c r="AT52" s="1309"/>
      <c r="AU52" s="2479"/>
      <c r="AW52" s="437"/>
      <c r="AX52" s="437"/>
      <c r="AY52" s="437"/>
      <c r="AZ52" s="437"/>
      <c r="BA52" s="1074">
        <v>11</v>
      </c>
    </row>
    <row r="53" spans="1:53" ht="11.45" customHeight="1">
      <c r="A53" s="1282" t="s">
        <v>198</v>
      </c>
      <c r="B53" s="1282"/>
      <c r="C53" s="1282"/>
      <c r="D53" s="1282"/>
      <c r="E53" s="2484"/>
      <c r="F53" s="2484"/>
      <c r="G53" s="2484"/>
      <c r="H53" s="2484"/>
      <c r="I53" s="2504"/>
      <c r="J53" s="2504"/>
      <c r="K53" s="2481"/>
      <c r="L53" s="1283"/>
      <c r="P53" s="2482"/>
      <c r="Q53" s="2482"/>
      <c r="R53" s="294"/>
      <c r="S53" s="2542"/>
      <c r="T53" s="2545"/>
      <c r="U53" s="237"/>
      <c r="V53" s="1312"/>
      <c r="W53" s="1415"/>
      <c r="X53" s="1312"/>
      <c r="Y53" s="1312"/>
      <c r="Z53" s="1312"/>
      <c r="AA53" s="1312"/>
      <c r="AB53" s="2344"/>
      <c r="AC53" s="2526"/>
      <c r="AD53" s="2438"/>
      <c r="AE53" s="2548"/>
      <c r="AF53" s="2344"/>
      <c r="AG53" s="231"/>
      <c r="AH53" s="352"/>
      <c r="AI53" s="352" t="s">
        <v>464</v>
      </c>
      <c r="AJ53" s="1312"/>
      <c r="AK53" s="1312"/>
      <c r="AL53" s="1312"/>
      <c r="AM53" s="1312"/>
      <c r="AN53" s="1312"/>
      <c r="AO53" s="1415"/>
      <c r="AP53" s="1312"/>
      <c r="AQ53" s="1312"/>
      <c r="AR53" s="1312"/>
      <c r="AS53" s="1312"/>
      <c r="AT53" s="1309"/>
      <c r="AU53" s="2479"/>
      <c r="AW53" s="437"/>
      <c r="AX53" s="437"/>
      <c r="AY53" s="437"/>
      <c r="AZ53" s="437"/>
      <c r="BA53" s="1074">
        <v>11</v>
      </c>
    </row>
    <row r="54" spans="1:53" ht="11.45" customHeight="1">
      <c r="A54" s="1282" t="s">
        <v>198</v>
      </c>
      <c r="B54" s="1282" t="s">
        <v>199</v>
      </c>
      <c r="C54" s="1282" t="s">
        <v>200</v>
      </c>
      <c r="D54" s="1282" t="s">
        <v>201</v>
      </c>
      <c r="E54" s="2484"/>
      <c r="F54" s="2484"/>
      <c r="G54" s="2484"/>
      <c r="H54" s="2484"/>
      <c r="I54" s="2504"/>
      <c r="J54" s="2504"/>
      <c r="K54" s="2481"/>
      <c r="L54" s="1283"/>
      <c r="P54" s="2482"/>
      <c r="Q54" s="2482"/>
      <c r="R54" s="294"/>
      <c r="S54" s="2543"/>
      <c r="T54" s="2546"/>
      <c r="U54" s="237"/>
      <c r="V54" s="1312"/>
      <c r="W54" s="1313" t="str">
        <f>X51&amp;"-"&amp;Z51</f>
        <v>-</v>
      </c>
      <c r="X54" s="1312"/>
      <c r="Y54" s="1312"/>
      <c r="Z54" s="1312"/>
      <c r="AA54" s="1312"/>
      <c r="AB54" s="2344"/>
      <c r="AC54" s="249"/>
      <c r="AD54" s="251"/>
      <c r="AE54" s="352" t="s">
        <v>465</v>
      </c>
      <c r="AF54" s="1312"/>
      <c r="AG54" s="1312"/>
      <c r="AH54" s="1312"/>
      <c r="AI54" s="1312"/>
      <c r="AJ54" s="1312"/>
      <c r="AK54" s="1312"/>
      <c r="AL54" s="1312"/>
      <c r="AM54" s="1312"/>
      <c r="AN54" s="1312"/>
      <c r="AO54" s="1313" t="str">
        <f>AP51&amp;"-"&amp;AR51</f>
        <v>-</v>
      </c>
      <c r="AP54" s="1312"/>
      <c r="AQ54" s="1312"/>
      <c r="AR54" s="1312"/>
      <c r="AS54" s="1312"/>
      <c r="AT54" s="1268"/>
      <c r="AU54" s="2479"/>
      <c r="AW54" s="437"/>
      <c r="AX54" s="437" t="str">
        <f t="shared" ref="AX54:AX62" si="3">IF(T54="","",T54)</f>
        <v/>
      </c>
      <c r="AY54" s="437"/>
      <c r="AZ54" s="437"/>
      <c r="BA54" s="1074">
        <v>11</v>
      </c>
    </row>
    <row r="55" spans="1:53" ht="11.45" customHeight="1">
      <c r="A55" s="1282" t="s">
        <v>198</v>
      </c>
      <c r="B55" s="1282" t="s">
        <v>199</v>
      </c>
      <c r="C55" s="1282" t="s">
        <v>200</v>
      </c>
      <c r="D55" s="1282" t="s">
        <v>201</v>
      </c>
      <c r="E55" s="2484"/>
      <c r="F55" s="2484"/>
      <c r="G55" s="2484"/>
      <c r="H55" s="2484"/>
      <c r="I55" s="2504"/>
      <c r="J55" s="2481"/>
      <c r="K55" s="1282"/>
      <c r="L55" s="1283"/>
      <c r="P55" s="2482"/>
      <c r="Q55" s="2482"/>
      <c r="R55" s="293"/>
      <c r="S55" s="1197"/>
      <c r="T55" s="224" t="s">
        <v>466</v>
      </c>
      <c r="U55" s="304"/>
      <c r="V55" s="304"/>
      <c r="W55" s="304"/>
      <c r="X55" s="304"/>
      <c r="Y55" s="304"/>
      <c r="Z55" s="304"/>
      <c r="AA55" s="261"/>
      <c r="AB55" s="1424"/>
      <c r="AC55" s="304"/>
      <c r="AD55" s="304"/>
      <c r="AE55" s="304"/>
      <c r="AF55" s="304"/>
      <c r="AG55" s="304"/>
      <c r="AH55" s="304"/>
      <c r="AI55" s="304"/>
      <c r="AJ55" s="304"/>
      <c r="AK55" s="304"/>
      <c r="AL55" s="304"/>
      <c r="AM55" s="304"/>
      <c r="AN55" s="304"/>
      <c r="AO55" s="304"/>
      <c r="AP55" s="304"/>
      <c r="AQ55" s="304"/>
      <c r="AR55" s="304"/>
      <c r="AS55" s="304"/>
      <c r="AT55" s="261"/>
      <c r="AU55" s="2480"/>
      <c r="AW55" s="437"/>
      <c r="AX55" s="437" t="str">
        <f t="shared" si="3"/>
        <v>Добавить строку</v>
      </c>
      <c r="AY55" s="437"/>
      <c r="AZ55" s="437"/>
      <c r="BA55" s="1074">
        <v>11</v>
      </c>
    </row>
    <row r="56" spans="1:53" s="2245" customFormat="1" ht="1.1499999999999999" customHeight="1">
      <c r="A56" s="1262" t="s">
        <v>198</v>
      </c>
      <c r="B56" s="1262" t="s">
        <v>199</v>
      </c>
      <c r="C56" s="1262" t="s">
        <v>200</v>
      </c>
      <c r="D56" s="1262" t="s">
        <v>201</v>
      </c>
      <c r="E56" s="2484"/>
      <c r="F56" s="2484"/>
      <c r="G56" s="2484"/>
      <c r="H56" s="2484"/>
      <c r="I56" s="2481"/>
      <c r="J56" s="1262"/>
      <c r="K56" s="1262"/>
      <c r="L56" s="1265"/>
      <c r="M56" s="447"/>
      <c r="N56" s="447"/>
      <c r="O56" s="447"/>
      <c r="P56" s="2482"/>
      <c r="Q56" s="1250"/>
      <c r="R56" s="293"/>
      <c r="S56" s="1305"/>
      <c r="T56" s="1306" t="s">
        <v>410</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37"/>
      <c r="AX56" s="437" t="str">
        <f t="shared" si="3"/>
        <v>Добавить группу потребителей</v>
      </c>
      <c r="AY56" s="437"/>
      <c r="AZ56" s="437"/>
      <c r="BA56" s="448">
        <v>1</v>
      </c>
    </row>
    <row r="57" spans="1:53" s="2269" customFormat="1" ht="1.1499999999999999" customHeight="1">
      <c r="A57" s="1262" t="s">
        <v>198</v>
      </c>
      <c r="B57" s="1262" t="s">
        <v>199</v>
      </c>
      <c r="C57" s="1262" t="s">
        <v>200</v>
      </c>
      <c r="D57" s="1262" t="s">
        <v>201</v>
      </c>
      <c r="E57" s="2484"/>
      <c r="F57" s="2484"/>
      <c r="G57" s="2484"/>
      <c r="H57" s="2483"/>
      <c r="I57" s="1262"/>
      <c r="J57" s="1262"/>
      <c r="K57" s="1262"/>
      <c r="L57" s="1265"/>
      <c r="M57" s="1234"/>
      <c r="N57" s="1234"/>
      <c r="O57" s="455"/>
      <c r="P57" s="317"/>
      <c r="Q57" s="1263"/>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48"/>
      <c r="AW57" s="437"/>
      <c r="AX57" s="437" t="str">
        <f t="shared" si="3"/>
        <v/>
      </c>
      <c r="AY57" s="437"/>
      <c r="AZ57" s="437"/>
      <c r="BA57" s="433">
        <v>1</v>
      </c>
    </row>
    <row r="58" spans="1:53" s="2245" customFormat="1" ht="1.1499999999999999" customHeight="1">
      <c r="A58" s="1262" t="s">
        <v>198</v>
      </c>
      <c r="B58" s="1262" t="s">
        <v>199</v>
      </c>
      <c r="C58" s="1262" t="s">
        <v>200</v>
      </c>
      <c r="D58" s="1233"/>
      <c r="E58" s="2484"/>
      <c r="F58" s="2484"/>
      <c r="G58" s="2483"/>
      <c r="H58" s="1233"/>
      <c r="I58" s="1233"/>
      <c r="J58" s="1233"/>
      <c r="K58" s="1233"/>
      <c r="L58" s="1258"/>
      <c r="M58" s="1234"/>
      <c r="N58" s="1234"/>
      <c r="P58" s="1235"/>
      <c r="Q58" s="1236"/>
      <c r="R58" s="1235"/>
      <c r="S58" s="1241"/>
      <c r="T58" s="1244" t="s">
        <v>412</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W58" s="720"/>
      <c r="AX58" s="720" t="str">
        <f t="shared" si="3"/>
        <v>Добавить источник для дифференциации</v>
      </c>
      <c r="AY58" s="720"/>
      <c r="AZ58" s="720"/>
      <c r="BA58" s="455">
        <v>1</v>
      </c>
    </row>
    <row r="59" spans="1:53" s="2245" customFormat="1" ht="1.1499999999999999" customHeight="1">
      <c r="A59" s="1262" t="s">
        <v>198</v>
      </c>
      <c r="B59" s="1262" t="s">
        <v>199</v>
      </c>
      <c r="C59" s="1233"/>
      <c r="D59" s="1233"/>
      <c r="E59" s="2484"/>
      <c r="F59" s="2483"/>
      <c r="G59" s="1233"/>
      <c r="H59" s="1233"/>
      <c r="I59" s="1233"/>
      <c r="J59" s="1233"/>
      <c r="K59" s="1233"/>
      <c r="L59" s="1258"/>
      <c r="M59" s="1240"/>
      <c r="N59" s="1240"/>
      <c r="P59" s="1235"/>
      <c r="Q59" s="1236"/>
      <c r="R59" s="1235"/>
      <c r="S59" s="1241"/>
      <c r="T59" s="1244" t="s">
        <v>413</v>
      </c>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W59" s="720"/>
      <c r="AX59" s="720" t="str">
        <f t="shared" si="3"/>
        <v>Добавить централизованную систему для дифференциации</v>
      </c>
      <c r="AY59" s="720"/>
      <c r="AZ59" s="720"/>
      <c r="BA59" s="455">
        <v>1</v>
      </c>
    </row>
    <row r="60" spans="1:53" s="2245" customFormat="1" ht="1.1499999999999999" customHeight="1">
      <c r="A60" s="1262" t="s">
        <v>198</v>
      </c>
      <c r="B60" s="1262"/>
      <c r="C60" s="1262"/>
      <c r="D60" s="1262"/>
      <c r="E60" s="2484"/>
      <c r="F60" s="1262"/>
      <c r="G60" s="1262"/>
      <c r="H60" s="1262"/>
      <c r="I60" s="1262"/>
      <c r="J60" s="1262"/>
      <c r="K60" s="1262"/>
      <c r="L60" s="1265"/>
      <c r="M60" s="1240"/>
      <c r="N60" s="1240"/>
      <c r="O60" s="455"/>
      <c r="P60" s="317"/>
      <c r="Q60" s="1263"/>
      <c r="R60" s="317"/>
      <c r="S60" s="1241"/>
      <c r="T60" s="1244" t="s">
        <v>414</v>
      </c>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W60" s="437"/>
      <c r="AX60" s="437" t="str">
        <f t="shared" si="3"/>
        <v>Добавить территорию для дифференциации</v>
      </c>
      <c r="AY60" s="437"/>
      <c r="AZ60" s="437"/>
      <c r="BA60" s="448">
        <v>1</v>
      </c>
    </row>
    <row r="61" spans="1:53" s="2245" customFormat="1" ht="1.1499999999999999" customHeight="1">
      <c r="A61" s="1262" t="s">
        <v>198</v>
      </c>
      <c r="B61" s="1262"/>
      <c r="C61" s="1262"/>
      <c r="D61" s="1262"/>
      <c r="E61" s="2483"/>
      <c r="F61" s="1262"/>
      <c r="G61" s="1262"/>
      <c r="H61" s="1262"/>
      <c r="I61" s="1262"/>
      <c r="J61" s="1262"/>
      <c r="K61" s="1262"/>
      <c r="L61" s="1265"/>
      <c r="M61" s="1240"/>
      <c r="N61" s="1240"/>
      <c r="O61" s="455"/>
      <c r="P61" s="317"/>
      <c r="Q61" s="1263"/>
      <c r="R61" s="317"/>
      <c r="S61" s="1241"/>
      <c r="T61" s="1244" t="s">
        <v>414</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W61" s="437"/>
      <c r="AX61" s="437" t="str">
        <f t="shared" si="3"/>
        <v>Добавить территорию для дифференциации</v>
      </c>
      <c r="AY61" s="437"/>
      <c r="AZ61" s="437"/>
      <c r="BA61" s="448">
        <v>1</v>
      </c>
    </row>
    <row r="62" spans="1:53" s="2245" customFormat="1" ht="1.1499999999999999" customHeight="1">
      <c r="A62" s="1233"/>
      <c r="B62" s="1233"/>
      <c r="C62" s="1233"/>
      <c r="D62" s="1233"/>
      <c r="E62" s="1262"/>
      <c r="F62" s="1233"/>
      <c r="G62" s="1233"/>
      <c r="H62" s="1233"/>
      <c r="I62" s="1233"/>
      <c r="J62" s="1233"/>
      <c r="K62" s="1233"/>
      <c r="L62" s="1258"/>
      <c r="M62" s="1240"/>
      <c r="N62" s="1240"/>
      <c r="P62" s="1235"/>
      <c r="Q62" s="1236"/>
      <c r="R62" s="1235"/>
      <c r="S62" s="1241"/>
      <c r="T62" s="1244" t="s">
        <v>446</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W62" s="720"/>
      <c r="AX62" s="720" t="str">
        <f t="shared" si="3"/>
        <v>Добавить наименование тарифа</v>
      </c>
      <c r="AY62" s="720"/>
      <c r="AZ62" s="720"/>
      <c r="BA62" s="455">
        <v>1</v>
      </c>
    </row>
    <row r="63" spans="1:53" ht="11.45" customHeight="1">
      <c r="M63" s="1079"/>
      <c r="N63" s="1079"/>
      <c r="O63" s="474"/>
      <c r="P63" s="1079"/>
      <c r="Q63" s="1079"/>
      <c r="R63" s="1074"/>
      <c r="S63" s="1074"/>
      <c r="AV63" s="1074"/>
      <c r="AW63" s="1074"/>
      <c r="AX63" s="1074"/>
      <c r="AY63" s="1074"/>
      <c r="AZ63" s="1074"/>
      <c r="BA63" s="1074">
        <v>11</v>
      </c>
    </row>
    <row r="64" spans="1:53" ht="19.899999999999999" customHeight="1">
      <c r="O64" s="474"/>
      <c r="S64" s="1172"/>
      <c r="T64" s="2503"/>
      <c r="U64" s="2503"/>
      <c r="V64" s="2503"/>
      <c r="W64" s="2503"/>
      <c r="X64" s="2503"/>
      <c r="Y64" s="2503"/>
      <c r="Z64" s="2503"/>
      <c r="AA64" s="2503"/>
      <c r="AB64" s="2503"/>
      <c r="AC64" s="2503"/>
      <c r="AD64" s="2503"/>
      <c r="AE64" s="2503"/>
      <c r="AF64" s="2503"/>
      <c r="AG64" s="2503"/>
      <c r="AH64" s="2503"/>
      <c r="AI64" s="2503"/>
      <c r="AJ64" s="2503"/>
      <c r="AK64" s="2503"/>
      <c r="AL64" s="2503"/>
      <c r="AM64" s="2503"/>
      <c r="AN64" s="2503"/>
      <c r="AO64" s="2503"/>
      <c r="AP64" s="2503"/>
      <c r="AQ64" s="2503"/>
      <c r="AR64" s="2503"/>
      <c r="AS64" s="2503"/>
      <c r="AT64" s="2503"/>
      <c r="AU64" s="2503"/>
      <c r="BA64" s="1074">
        <v>19</v>
      </c>
    </row>
    <row r="65" spans="1:53" ht="21" customHeight="1">
      <c r="O65" s="474"/>
      <c r="T65" s="2503"/>
      <c r="U65" s="2503"/>
      <c r="V65" s="2503"/>
      <c r="W65" s="2503"/>
      <c r="X65" s="2503"/>
      <c r="Y65" s="2503"/>
      <c r="Z65" s="2503"/>
      <c r="AA65" s="2503"/>
      <c r="AB65" s="2503"/>
      <c r="AC65" s="2503"/>
      <c r="AD65" s="2503"/>
      <c r="AE65" s="2503"/>
      <c r="AF65" s="2503"/>
      <c r="AG65" s="2503"/>
      <c r="AH65" s="2503"/>
      <c r="AI65" s="2503"/>
      <c r="AJ65" s="2503"/>
      <c r="AK65" s="2503"/>
      <c r="AL65" s="2503"/>
      <c r="AM65" s="2503"/>
      <c r="AN65" s="2503"/>
      <c r="AO65" s="2503"/>
      <c r="AP65" s="2503"/>
      <c r="AQ65" s="2503"/>
      <c r="AR65" s="2503"/>
      <c r="AS65" s="2503"/>
      <c r="AT65" s="2503"/>
      <c r="AU65" s="2503"/>
      <c r="BA65" s="1074">
        <v>20</v>
      </c>
    </row>
    <row r="66" spans="1:53" ht="14.65" customHeight="1">
      <c r="O66" s="474"/>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BA66" s="1074">
        <v>14</v>
      </c>
    </row>
    <row r="67" spans="1:53" ht="19.899999999999999" customHeight="1">
      <c r="O67" s="474"/>
      <c r="T67" s="2503"/>
      <c r="U67" s="2503"/>
      <c r="V67" s="2503"/>
      <c r="W67" s="2503"/>
      <c r="X67" s="2503"/>
      <c r="Y67" s="2503"/>
      <c r="Z67" s="2503"/>
      <c r="AA67" s="2503"/>
      <c r="AB67" s="2503"/>
      <c r="AC67" s="2503"/>
      <c r="AD67" s="2503"/>
      <c r="AE67" s="2503"/>
      <c r="AF67" s="2503"/>
      <c r="AG67" s="2503"/>
      <c r="AH67" s="2503"/>
      <c r="AI67" s="2503"/>
      <c r="AJ67" s="2503"/>
      <c r="AK67" s="2503"/>
      <c r="AL67" s="2503"/>
      <c r="AM67" s="2503"/>
      <c r="AN67" s="2503"/>
      <c r="AO67" s="2503"/>
      <c r="AP67" s="2503"/>
      <c r="AQ67" s="2503"/>
      <c r="AR67" s="2503"/>
      <c r="AS67" s="2503"/>
      <c r="AT67" s="2503"/>
      <c r="AU67" s="2503"/>
      <c r="BA67" s="1074">
        <v>19</v>
      </c>
    </row>
    <row r="68" spans="1:53" ht="16.899999999999999" customHeight="1">
      <c r="O68" s="474"/>
      <c r="T68" s="2503"/>
      <c r="U68" s="2503"/>
      <c r="V68" s="2503"/>
      <c r="W68" s="2503"/>
      <c r="X68" s="2503"/>
      <c r="Y68" s="2503"/>
      <c r="Z68" s="2503"/>
      <c r="AA68" s="2503"/>
      <c r="AB68" s="2503"/>
      <c r="AC68" s="2503"/>
      <c r="AD68" s="2503"/>
      <c r="AE68" s="2503"/>
      <c r="AF68" s="2503"/>
      <c r="AG68" s="2503"/>
      <c r="AH68" s="2503"/>
      <c r="AI68" s="2503"/>
      <c r="AJ68" s="2503"/>
      <c r="AK68" s="2503"/>
      <c r="AL68" s="2503"/>
      <c r="AM68" s="2503"/>
      <c r="AN68" s="2503"/>
      <c r="AO68" s="2503"/>
      <c r="AP68" s="2503"/>
      <c r="AQ68" s="2503"/>
      <c r="AR68" s="2503"/>
      <c r="AS68" s="2503"/>
      <c r="AT68" s="2503"/>
      <c r="AU68" s="2503"/>
      <c r="BA68" s="1074">
        <v>16</v>
      </c>
    </row>
    <row r="69" spans="1:53" ht="14.65" customHeight="1">
      <c r="O69" s="474"/>
      <c r="BA69" s="1074">
        <v>14</v>
      </c>
    </row>
    <row r="70" spans="1:53" ht="22.5" hidden="1" customHeight="1">
      <c r="A70" s="1079" t="s">
        <v>81</v>
      </c>
      <c r="B70" s="1079">
        <v>0</v>
      </c>
      <c r="C70" s="1079">
        <v>0</v>
      </c>
      <c r="D70" s="1079">
        <v>0</v>
      </c>
      <c r="E70" s="1079">
        <v>0</v>
      </c>
      <c r="F70" s="1079">
        <v>0</v>
      </c>
      <c r="G70" s="1079">
        <v>0</v>
      </c>
      <c r="H70" s="1079">
        <v>0</v>
      </c>
      <c r="I70" s="1079">
        <v>0</v>
      </c>
      <c r="J70" s="1079">
        <v>0</v>
      </c>
      <c r="K70" s="1079">
        <v>0</v>
      </c>
      <c r="L70" s="1248">
        <v>0</v>
      </c>
      <c r="M70" s="1281">
        <v>0</v>
      </c>
      <c r="N70" s="1281">
        <v>0</v>
      </c>
      <c r="O70" s="1281">
        <v>0</v>
      </c>
      <c r="P70" s="1281">
        <v>3</v>
      </c>
      <c r="Q70" s="1290">
        <v>3</v>
      </c>
      <c r="R70" s="281">
        <v>3</v>
      </c>
      <c r="S70" s="518">
        <v>12</v>
      </c>
      <c r="T70" s="1074">
        <v>31</v>
      </c>
      <c r="U70" s="1074">
        <v>0</v>
      </c>
      <c r="V70" s="1074">
        <v>0</v>
      </c>
      <c r="W70" s="1074">
        <v>0</v>
      </c>
      <c r="X70" s="1074">
        <v>0</v>
      </c>
      <c r="Y70" s="1074">
        <v>0</v>
      </c>
      <c r="Z70" s="1074">
        <v>0</v>
      </c>
      <c r="AA70" s="1074">
        <v>0</v>
      </c>
      <c r="AB70" s="1074">
        <v>5</v>
      </c>
      <c r="AC70" s="1074">
        <v>3</v>
      </c>
      <c r="AD70" s="1074">
        <v>3</v>
      </c>
      <c r="AE70" s="1074">
        <v>24</v>
      </c>
      <c r="AF70" s="1074">
        <v>3</v>
      </c>
      <c r="AG70" s="1074">
        <v>3</v>
      </c>
      <c r="AH70" s="1074">
        <v>3</v>
      </c>
      <c r="AI70" s="1074">
        <v>24</v>
      </c>
      <c r="AJ70" s="1074">
        <v>3</v>
      </c>
      <c r="AK70" s="1074">
        <v>3</v>
      </c>
      <c r="AL70" s="1074">
        <v>3</v>
      </c>
      <c r="AM70" s="1074">
        <v>18</v>
      </c>
      <c r="AN70" s="1074">
        <v>21</v>
      </c>
      <c r="AO70" s="1074">
        <v>21</v>
      </c>
      <c r="AP70" s="1074">
        <v>11</v>
      </c>
      <c r="AQ70" s="1074">
        <v>3</v>
      </c>
      <c r="AR70" s="1074">
        <v>11</v>
      </c>
      <c r="AS70" s="1074">
        <v>8</v>
      </c>
      <c r="AT70" s="1074">
        <v>4</v>
      </c>
      <c r="AU70" s="1074">
        <v>115</v>
      </c>
      <c r="AV70" s="448">
        <v>10</v>
      </c>
      <c r="AW70" s="448">
        <v>10</v>
      </c>
      <c r="AX70" s="448">
        <v>10</v>
      </c>
      <c r="AY70" s="448">
        <v>10</v>
      </c>
      <c r="AZ70" s="448">
        <v>10</v>
      </c>
      <c r="BA70" s="1074">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44" hidden="1"/>
    <col min="2" max="2" width="11" style="2244" hidden="1" customWidth="1"/>
    <col min="3" max="3" width="10.5703125" style="2244" hidden="1"/>
    <col min="4" max="4" width="11.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4.140625" style="2244" hidden="1" customWidth="1"/>
    <col min="10" max="10" width="9.85546875" style="2244" hidden="1" customWidth="1"/>
    <col min="11" max="11" width="14.7109375" style="2244" hidden="1" customWidth="1"/>
    <col min="12" max="12" width="19.140625" style="2270" hidden="1" customWidth="1"/>
    <col min="13" max="14" width="12.28515625" style="2271" hidden="1" customWidth="1"/>
    <col min="15" max="15" width="23.42578125" style="2271" hidden="1" customWidth="1"/>
    <col min="16" max="16" width="3" style="2272" customWidth="1"/>
    <col min="17" max="18" width="3" style="2273" customWidth="1"/>
    <col min="19" max="19" width="12" style="2274" customWidth="1"/>
    <col min="20" max="20" width="35" style="2238" customWidth="1"/>
    <col min="21" max="21" width="0.140625" style="2238" customWidth="1"/>
    <col min="22" max="24" width="24.7109375" style="2238" hidden="1" customWidth="1"/>
    <col min="25" max="25" width="11.7109375" style="2238" hidden="1" customWidth="1"/>
    <col min="26" max="26" width="3.7109375" style="2238" hidden="1" customWidth="1"/>
    <col min="27" max="27" width="11.7109375" style="2238" hidden="1" customWidth="1"/>
    <col min="28" max="28" width="8.5703125" style="2238" hidden="1" customWidth="1"/>
    <col min="29" max="29" width="24.7109375" style="2238" customWidth="1"/>
    <col min="30" max="31" width="24" style="2238" customWidth="1"/>
    <col min="32" max="32" width="11" style="2238" customWidth="1"/>
    <col min="33" max="33" width="3.7109375" style="2238" customWidth="1"/>
    <col min="34" max="34" width="11" style="2238" customWidth="1"/>
    <col min="35" max="35" width="8.5703125" style="2238" hidden="1" customWidth="1"/>
    <col min="36" max="36" width="4" style="2238" customWidth="1"/>
    <col min="37" max="37" width="115" style="2238" customWidth="1"/>
    <col min="38" max="42" width="10" style="2245" customWidth="1"/>
    <col min="43" max="43" width="10.5703125" style="2238" hidden="1"/>
  </cols>
  <sheetData>
    <row r="1" spans="1:43" ht="22.5" hidden="1" customHeight="1">
      <c r="X1" s="264"/>
      <c r="Y1" s="264"/>
      <c r="AE1" s="264"/>
      <c r="AF1" s="264"/>
      <c r="AQ1" s="1074" t="s">
        <v>14</v>
      </c>
    </row>
    <row r="2" spans="1:43" ht="23.25" hidden="1" customHeight="1">
      <c r="A2" s="1282"/>
      <c r="B2" s="1282"/>
      <c r="C2" s="1282"/>
      <c r="D2" s="1282"/>
      <c r="E2" s="2483">
        <v>1</v>
      </c>
      <c r="F2" s="1282"/>
      <c r="G2" s="1282"/>
      <c r="H2" s="1282"/>
      <c r="I2" s="1282"/>
      <c r="J2" s="1282"/>
      <c r="K2" s="1282"/>
      <c r="L2" s="1283"/>
      <c r="M2" s="1284"/>
      <c r="N2" s="1284"/>
      <c r="O2" s="1284"/>
      <c r="P2" s="298"/>
      <c r="Q2" s="297"/>
      <c r="R2" s="292"/>
      <c r="S2" s="1344" t="e">
        <f>INDEX(PT_DIFFERENTIATION_NUM_NTAR,MATCH(A2,PT_DIFFERENTIATION_NTAR_ID,0))</f>
        <v>#N/A</v>
      </c>
      <c r="T2" s="235" t="s">
        <v>123</v>
      </c>
      <c r="U2" s="237"/>
      <c r="V2" s="2469"/>
      <c r="W2" s="2470"/>
      <c r="X2" s="2470"/>
      <c r="Y2" s="2470"/>
      <c r="Z2" s="2470"/>
      <c r="AA2" s="2470"/>
      <c r="AB2" s="2471"/>
      <c r="AC2" s="2469" t="e">
        <f>INDEX(PT_DIFFERENTIATION_NTAR,MATCH(A2,PT_DIFFERENTIATION_NTAR_ID,0))</f>
        <v>#N/A</v>
      </c>
      <c r="AD2" s="2470"/>
      <c r="AE2" s="2470"/>
      <c r="AF2" s="2470"/>
      <c r="AG2" s="2470"/>
      <c r="AH2" s="2470"/>
      <c r="AI2" s="2470"/>
      <c r="AJ2" s="2471"/>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4">
        <v>0</v>
      </c>
    </row>
    <row r="3" spans="1:43" ht="23.25" hidden="1" customHeight="1">
      <c r="A3" s="1282"/>
      <c r="B3" s="1282"/>
      <c r="C3" s="1282"/>
      <c r="D3" s="1282"/>
      <c r="E3" s="2484"/>
      <c r="F3" s="2483">
        <v>1</v>
      </c>
      <c r="G3" s="1282"/>
      <c r="H3" s="1282"/>
      <c r="I3" s="1282"/>
      <c r="J3" s="1282"/>
      <c r="K3" s="1282"/>
      <c r="L3" s="1283"/>
      <c r="M3" s="1284"/>
      <c r="N3" s="1284"/>
      <c r="O3" s="1284"/>
      <c r="P3" s="1342"/>
      <c r="Q3" s="289"/>
      <c r="R3" s="290"/>
      <c r="S3" s="1344" t="e">
        <f>INDEX(PT_DIFFERENTIATION_NUM_TER,MATCH(B3,PT_DIFFERENTIATION_TER_ID,0))</f>
        <v>#N/A</v>
      </c>
      <c r="T3" s="245" t="s">
        <v>395</v>
      </c>
      <c r="U3" s="237"/>
      <c r="V3" s="2469"/>
      <c r="W3" s="2470"/>
      <c r="X3" s="2470"/>
      <c r="Y3" s="2470"/>
      <c r="Z3" s="2470"/>
      <c r="AA3" s="2470"/>
      <c r="AB3" s="2471"/>
      <c r="AC3" s="2469" t="e">
        <f>INDEX(PT_DIFFERENTIATION_TER,MATCH(B3,PT_DIFFERENTIATION_TER_ID,0))</f>
        <v>#N/A</v>
      </c>
      <c r="AD3" s="2470"/>
      <c r="AE3" s="2470"/>
      <c r="AF3" s="2470"/>
      <c r="AG3" s="2470"/>
      <c r="AH3" s="2470"/>
      <c r="AI3" s="2470"/>
      <c r="AJ3" s="2471"/>
      <c r="AK3" s="1177" t="s">
        <v>396</v>
      </c>
      <c r="AM3" s="437"/>
      <c r="AN3" s="437" t="str">
        <f t="shared" si="0"/>
        <v>Территория действия тарифа</v>
      </c>
      <c r="AO3" s="437"/>
      <c r="AP3" s="437"/>
      <c r="AQ3" s="1074">
        <v>0</v>
      </c>
    </row>
    <row r="4" spans="1:43" ht="23.25" hidden="1" customHeight="1">
      <c r="A4" s="1282"/>
      <c r="B4" s="1282"/>
      <c r="C4" s="1282"/>
      <c r="D4" s="1282"/>
      <c r="E4" s="2484"/>
      <c r="F4" s="2484"/>
      <c r="G4" s="2483">
        <v>1</v>
      </c>
      <c r="H4" s="1282"/>
      <c r="I4" s="1282"/>
      <c r="J4" s="1282"/>
      <c r="K4" s="1282"/>
      <c r="L4" s="1283"/>
      <c r="M4" s="1284"/>
      <c r="N4" s="1284"/>
      <c r="O4" s="1284"/>
      <c r="P4" s="291"/>
      <c r="Q4" s="289"/>
      <c r="R4" s="290"/>
      <c r="S4" s="1344" t="e">
        <f>INDEX(PT_DIFFERENTIATION_NUM_CS,MATCH(C4,PT_DIFFERENTIATION_CS_ID,0))</f>
        <v>#N/A</v>
      </c>
      <c r="T4" s="246" t="s">
        <v>479</v>
      </c>
      <c r="U4" s="237"/>
      <c r="V4" s="2469"/>
      <c r="W4" s="2470"/>
      <c r="X4" s="2470"/>
      <c r="Y4" s="2470"/>
      <c r="Z4" s="2470"/>
      <c r="AA4" s="2470"/>
      <c r="AB4" s="2471"/>
      <c r="AC4" s="2469" t="e">
        <f>INDEX(PT_DIFFERENTIATION_CS,MATCH(C4,PT_DIFFERENTIATION_CS_ID,0))</f>
        <v>#N/A</v>
      </c>
      <c r="AD4" s="2470"/>
      <c r="AE4" s="2470"/>
      <c r="AF4" s="2470"/>
      <c r="AG4" s="2470"/>
      <c r="AH4" s="2470"/>
      <c r="AI4" s="2470"/>
      <c r="AJ4" s="2471"/>
      <c r="AK4" s="1177" t="s">
        <v>480</v>
      </c>
      <c r="AM4" s="437"/>
      <c r="AN4" s="437" t="str">
        <f t="shared" si="0"/>
        <v>Наименование централизованной системы холодного водоснабжения</v>
      </c>
      <c r="AO4" s="437"/>
      <c r="AP4" s="437"/>
      <c r="AQ4" s="1074">
        <v>0</v>
      </c>
    </row>
    <row r="5" spans="1:43" ht="23.25" hidden="1" customHeight="1">
      <c r="A5" s="1282"/>
      <c r="B5" s="1282"/>
      <c r="C5" s="1282"/>
      <c r="D5" s="1282"/>
      <c r="E5" s="2484"/>
      <c r="F5" s="2484"/>
      <c r="G5" s="2484"/>
      <c r="H5" s="2484"/>
      <c r="I5" s="2481" t="e">
        <f>S4&amp;".1"</f>
        <v>#N/A</v>
      </c>
      <c r="J5" s="1282"/>
      <c r="K5" s="1282"/>
      <c r="L5" s="1283"/>
      <c r="P5" s="2482">
        <v>1</v>
      </c>
      <c r="Q5" s="1341"/>
      <c r="R5" s="293"/>
      <c r="S5" s="1344" t="e">
        <f>$I5</f>
        <v>#N/A</v>
      </c>
      <c r="T5" s="222" t="s">
        <v>481</v>
      </c>
      <c r="U5" s="237"/>
      <c r="V5" s="2550"/>
      <c r="W5" s="2551"/>
      <c r="X5" s="2551"/>
      <c r="Y5" s="2551"/>
      <c r="Z5" s="2551"/>
      <c r="AA5" s="2551"/>
      <c r="AB5" s="2552"/>
      <c r="AC5" s="2553"/>
      <c r="AD5" s="2554"/>
      <c r="AE5" s="2554"/>
      <c r="AF5" s="2554"/>
      <c r="AG5" s="2554"/>
      <c r="AH5" s="2554"/>
      <c r="AI5" s="2554"/>
      <c r="AJ5" s="2555"/>
      <c r="AK5" s="1177" t="s">
        <v>482</v>
      </c>
      <c r="AM5" s="437"/>
      <c r="AN5" s="437" t="str">
        <f t="shared" si="0"/>
        <v>Наименование признака дифференциации</v>
      </c>
      <c r="AO5" s="437"/>
      <c r="AP5" s="437"/>
      <c r="AQ5" s="1074">
        <v>0</v>
      </c>
    </row>
    <row r="6" spans="1:43" ht="23.25" hidden="1" customHeight="1">
      <c r="A6" s="1282"/>
      <c r="B6" s="1282"/>
      <c r="C6" s="1282"/>
      <c r="D6" s="1282"/>
      <c r="E6" s="2484"/>
      <c r="F6" s="2484"/>
      <c r="G6" s="2484"/>
      <c r="H6" s="2484"/>
      <c r="I6" s="2504"/>
      <c r="J6" s="2481" t="e">
        <f>I5&amp;".1"</f>
        <v>#N/A</v>
      </c>
      <c r="K6" s="1282"/>
      <c r="L6" s="1283" t="s">
        <v>404</v>
      </c>
      <c r="P6" s="2482"/>
      <c r="Q6" s="2482">
        <v>1</v>
      </c>
      <c r="R6" s="294"/>
      <c r="S6" s="1344" t="e">
        <f>$J6</f>
        <v>#N/A</v>
      </c>
      <c r="T6" s="223" t="s">
        <v>405</v>
      </c>
      <c r="U6" s="237"/>
      <c r="V6" s="2472"/>
      <c r="W6" s="2473"/>
      <c r="X6" s="2473"/>
      <c r="Y6" s="2473"/>
      <c r="Z6" s="2473"/>
      <c r="AA6" s="2473"/>
      <c r="AB6" s="2474"/>
      <c r="AC6" s="2472"/>
      <c r="AD6" s="2473"/>
      <c r="AE6" s="2473"/>
      <c r="AF6" s="2473"/>
      <c r="AG6" s="2473"/>
      <c r="AH6" s="2473"/>
      <c r="AI6" s="2473"/>
      <c r="AJ6" s="2474"/>
      <c r="AK6" s="1226" t="s">
        <v>483</v>
      </c>
      <c r="AM6" s="437"/>
      <c r="AN6" s="437" t="str">
        <f t="shared" si="0"/>
        <v>Группа потребителей</v>
      </c>
      <c r="AO6" s="437"/>
      <c r="AP6" s="437"/>
      <c r="AQ6" s="1074">
        <v>0</v>
      </c>
    </row>
    <row r="7" spans="1:43" ht="23.25" hidden="1" customHeight="1">
      <c r="A7" s="1282"/>
      <c r="B7" s="1282"/>
      <c r="C7" s="1282"/>
      <c r="D7" s="1282"/>
      <c r="E7" s="2484"/>
      <c r="F7" s="2484"/>
      <c r="G7" s="2484"/>
      <c r="H7" s="2484"/>
      <c r="I7" s="2504"/>
      <c r="J7" s="2504"/>
      <c r="K7" s="2481" t="e">
        <f>J6&amp;".1"</f>
        <v>#N/A</v>
      </c>
      <c r="L7" s="1283"/>
      <c r="P7" s="2482"/>
      <c r="Q7" s="2482"/>
      <c r="R7" s="294">
        <v>1</v>
      </c>
      <c r="S7" s="1344" t="e">
        <f>$K7</f>
        <v>#N/A</v>
      </c>
      <c r="T7" s="1356"/>
      <c r="U7" s="237"/>
      <c r="V7" s="688"/>
      <c r="W7" s="688"/>
      <c r="X7" s="1176"/>
      <c r="Y7" s="2486"/>
      <c r="Z7" s="2344" t="s">
        <v>64</v>
      </c>
      <c r="AA7" s="2486"/>
      <c r="AB7" s="2344" t="s">
        <v>64</v>
      </c>
      <c r="AC7" s="688"/>
      <c r="AD7" s="688"/>
      <c r="AE7" s="1176"/>
      <c r="AF7" s="2486"/>
      <c r="AG7" s="2344" t="s">
        <v>64</v>
      </c>
      <c r="AH7" s="2505"/>
      <c r="AI7" s="2344" t="s">
        <v>64</v>
      </c>
      <c r="AJ7" s="1357"/>
      <c r="AK7" s="25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4">
        <v>0</v>
      </c>
    </row>
    <row r="8" spans="1:43" ht="14.25" hidden="1" customHeight="1">
      <c r="A8" s="1282"/>
      <c r="B8" s="1282"/>
      <c r="C8" s="1282"/>
      <c r="D8" s="1282"/>
      <c r="E8" s="2484"/>
      <c r="F8" s="2484"/>
      <c r="G8" s="2484"/>
      <c r="H8" s="2484"/>
      <c r="I8" s="2504"/>
      <c r="J8" s="2504"/>
      <c r="K8" s="2481"/>
      <c r="L8" s="1283"/>
      <c r="P8" s="2482"/>
      <c r="Q8" s="2482"/>
      <c r="R8" s="294"/>
      <c r="S8" s="1343"/>
      <c r="T8" s="237"/>
      <c r="U8" s="237"/>
      <c r="V8" s="262"/>
      <c r="W8" s="262"/>
      <c r="X8" s="265" t="str">
        <f>Y7&amp;"-"&amp;AA7</f>
        <v>-</v>
      </c>
      <c r="Y8" s="2487"/>
      <c r="Z8" s="2344"/>
      <c r="AA8" s="2487"/>
      <c r="AB8" s="2344"/>
      <c r="AC8" s="262"/>
      <c r="AD8" s="262"/>
      <c r="AE8" s="265" t="str">
        <f>AF7&amp;"-"&amp;AH7</f>
        <v>-</v>
      </c>
      <c r="AF8" s="2487"/>
      <c r="AG8" s="2344"/>
      <c r="AH8" s="2506"/>
      <c r="AI8" s="2344"/>
      <c r="AJ8" s="1358"/>
      <c r="AK8" s="2549"/>
      <c r="AM8" s="437"/>
      <c r="AN8" s="437" t="str">
        <f t="shared" si="0"/>
        <v/>
      </c>
      <c r="AO8" s="437"/>
      <c r="AP8" s="437"/>
      <c r="AQ8" s="1074">
        <v>0</v>
      </c>
    </row>
    <row r="9" spans="1:43" ht="21" hidden="1" customHeight="1">
      <c r="A9" s="1282"/>
      <c r="B9" s="1282"/>
      <c r="C9" s="1282"/>
      <c r="D9" s="1282"/>
      <c r="E9" s="2484"/>
      <c r="F9" s="2484"/>
      <c r="G9" s="2484"/>
      <c r="H9" s="2484"/>
      <c r="I9" s="2504"/>
      <c r="J9" s="2481"/>
      <c r="K9" s="1282"/>
      <c r="L9" s="1283"/>
      <c r="P9" s="2482"/>
      <c r="Q9" s="2482"/>
      <c r="R9" s="293"/>
      <c r="S9" s="1197"/>
      <c r="T9" s="224" t="s">
        <v>484</v>
      </c>
      <c r="U9" s="304"/>
      <c r="V9" s="304"/>
      <c r="W9" s="304"/>
      <c r="X9" s="304"/>
      <c r="Y9" s="304"/>
      <c r="Z9" s="304"/>
      <c r="AA9" s="304"/>
      <c r="AB9" s="304"/>
      <c r="AC9" s="304"/>
      <c r="AD9" s="304"/>
      <c r="AE9" s="304"/>
      <c r="AF9" s="304"/>
      <c r="AG9" s="304"/>
      <c r="AH9" s="304"/>
      <c r="AI9" s="304"/>
      <c r="AJ9" s="304"/>
      <c r="AK9" s="1177" t="s">
        <v>485</v>
      </c>
      <c r="AM9" s="437"/>
      <c r="AN9" s="437" t="str">
        <f t="shared" si="0"/>
        <v>Добавить значение признака дифференциации</v>
      </c>
      <c r="AO9" s="437"/>
      <c r="AP9" s="437"/>
      <c r="AQ9" s="1074">
        <v>0</v>
      </c>
    </row>
    <row r="10" spans="1:43" ht="21" hidden="1" customHeight="1">
      <c r="A10" s="1282"/>
      <c r="B10" s="1282"/>
      <c r="C10" s="1282"/>
      <c r="D10" s="1282"/>
      <c r="E10" s="2484"/>
      <c r="F10" s="2484"/>
      <c r="G10" s="2484"/>
      <c r="H10" s="2484"/>
      <c r="I10" s="2481"/>
      <c r="J10" s="1282"/>
      <c r="K10" s="1282"/>
      <c r="L10" s="1283"/>
      <c r="P10" s="2482"/>
      <c r="Q10" s="1341"/>
      <c r="R10" s="293"/>
      <c r="S10" s="1197"/>
      <c r="T10" s="302" t="s">
        <v>410</v>
      </c>
      <c r="U10" s="304"/>
      <c r="V10" s="304"/>
      <c r="W10" s="304"/>
      <c r="X10" s="304"/>
      <c r="Y10" s="304"/>
      <c r="Z10" s="304"/>
      <c r="AA10" s="304"/>
      <c r="AB10" s="303"/>
      <c r="AC10" s="304"/>
      <c r="AD10" s="304"/>
      <c r="AE10" s="304"/>
      <c r="AF10" s="304"/>
      <c r="AG10" s="304"/>
      <c r="AH10" s="304"/>
      <c r="AI10" s="303"/>
      <c r="AJ10" s="304"/>
      <c r="AK10" s="1359"/>
      <c r="AM10" s="437"/>
      <c r="AN10" s="437" t="str">
        <f t="shared" si="0"/>
        <v>Добавить группу потребителей</v>
      </c>
      <c r="AO10" s="437"/>
      <c r="AP10" s="437"/>
      <c r="AQ10" s="1074">
        <v>0</v>
      </c>
    </row>
    <row r="11" spans="1:43" ht="14.25" hidden="1" customHeight="1">
      <c r="A11" s="1282"/>
      <c r="B11" s="1282"/>
      <c r="C11" s="1282"/>
      <c r="D11" s="1282"/>
      <c r="E11" s="2484"/>
      <c r="F11" s="2484"/>
      <c r="G11" s="2484"/>
      <c r="H11" s="2483"/>
      <c r="I11" s="1282"/>
      <c r="J11" s="1282"/>
      <c r="K11" s="1282"/>
      <c r="L11" s="1283"/>
      <c r="M11" s="1284"/>
      <c r="N11" s="1284"/>
      <c r="O11" s="474"/>
      <c r="P11" s="297"/>
      <c r="Q11" s="312"/>
      <c r="R11" s="292"/>
      <c r="S11" s="1197"/>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74">
        <v>0</v>
      </c>
    </row>
    <row r="12" spans="1:43" s="2245" customFormat="1" ht="14.25" hidden="1" customHeight="1">
      <c r="A12" s="1262"/>
      <c r="B12" s="1262"/>
      <c r="C12" s="1233"/>
      <c r="D12" s="1233"/>
      <c r="E12" s="2484"/>
      <c r="F12" s="2483"/>
      <c r="G12" s="1233"/>
      <c r="H12" s="1233"/>
      <c r="I12" s="1233"/>
      <c r="J12" s="1233"/>
      <c r="K12" s="1233"/>
      <c r="L12" s="1345"/>
      <c r="M12" s="1240"/>
      <c r="N12" s="1240"/>
      <c r="P12" s="1235"/>
      <c r="Q12" s="1236"/>
      <c r="R12" s="1235"/>
      <c r="S12" s="1241"/>
      <c r="T12" s="1244" t="s">
        <v>413</v>
      </c>
      <c r="U12" s="1243"/>
      <c r="V12" s="1243"/>
      <c r="W12" s="1243"/>
      <c r="X12" s="1243"/>
      <c r="Y12" s="1243"/>
      <c r="Z12" s="1243"/>
      <c r="AA12" s="1243"/>
      <c r="AB12" s="1243"/>
      <c r="AC12" s="1243"/>
      <c r="AD12" s="1243"/>
      <c r="AE12" s="1243"/>
      <c r="AF12" s="1243"/>
      <c r="AG12" s="1243"/>
      <c r="AH12" s="1243"/>
      <c r="AI12" s="1243"/>
      <c r="AJ12" s="1243"/>
      <c r="AK12" s="1243"/>
      <c r="AM12" s="720"/>
      <c r="AN12" s="720" t="str">
        <f t="shared" si="0"/>
        <v>Добавить централизованную систему для дифференциации</v>
      </c>
      <c r="AO12" s="720"/>
      <c r="AP12" s="720"/>
      <c r="AQ12" s="455">
        <v>0</v>
      </c>
    </row>
    <row r="13" spans="1:43" s="2245" customFormat="1" ht="14.25" hidden="1" customHeight="1">
      <c r="A13" s="1262"/>
      <c r="B13" s="1262"/>
      <c r="C13" s="1262"/>
      <c r="D13" s="1262"/>
      <c r="E13" s="2483"/>
      <c r="F13" s="1262"/>
      <c r="G13" s="1262"/>
      <c r="H13" s="1262"/>
      <c r="I13" s="1262"/>
      <c r="J13" s="1262"/>
      <c r="K13" s="1262"/>
      <c r="L13" s="1265"/>
      <c r="M13" s="1240"/>
      <c r="N13" s="1240"/>
      <c r="O13" s="455"/>
      <c r="P13" s="317"/>
      <c r="Q13" s="1263"/>
      <c r="R13" s="317"/>
      <c r="S13" s="1241"/>
      <c r="T13" s="1244" t="s">
        <v>414</v>
      </c>
      <c r="U13" s="1243"/>
      <c r="V13" s="1243"/>
      <c r="W13" s="1243"/>
      <c r="X13" s="1243"/>
      <c r="Y13" s="1243"/>
      <c r="Z13" s="1243"/>
      <c r="AA13" s="1243"/>
      <c r="AB13" s="1243"/>
      <c r="AC13" s="1243"/>
      <c r="AD13" s="1243"/>
      <c r="AE13" s="1243"/>
      <c r="AF13" s="1243"/>
      <c r="AG13" s="1243"/>
      <c r="AH13" s="1243"/>
      <c r="AI13" s="1243"/>
      <c r="AJ13" s="1243"/>
      <c r="AK13" s="1243"/>
      <c r="AM13" s="437"/>
      <c r="AN13" s="437" t="str">
        <f t="shared" si="0"/>
        <v>Добавить территорию для дифференциации</v>
      </c>
      <c r="AO13" s="437"/>
      <c r="AP13" s="437"/>
      <c r="AQ13" s="448">
        <v>0</v>
      </c>
    </row>
    <row r="14" spans="1:43" ht="14.25" hidden="1" customHeight="1">
      <c r="AB14" s="264"/>
      <c r="AI14" s="264"/>
      <c r="AQ14" s="1074">
        <v>0</v>
      </c>
    </row>
    <row r="15" spans="1:43" ht="14.25" hidden="1" customHeight="1">
      <c r="AC15" s="1279"/>
      <c r="AD15" s="1279"/>
      <c r="AE15" s="1280"/>
      <c r="AF15" s="2488"/>
      <c r="AG15" s="2489" t="s">
        <v>64</v>
      </c>
      <c r="AH15" s="2488"/>
      <c r="AI15" s="2489" t="s">
        <v>64</v>
      </c>
      <c r="AQ15" s="1074">
        <v>0</v>
      </c>
    </row>
    <row r="16" spans="1:43" ht="14.25" hidden="1" customHeight="1">
      <c r="AC16" s="1279"/>
      <c r="AD16" s="1279"/>
      <c r="AE16" s="265" t="str">
        <f>AF15&amp;"-"&amp;AH15</f>
        <v>-</v>
      </c>
      <c r="AF16" s="2489"/>
      <c r="AG16" s="2489"/>
      <c r="AH16" s="2489"/>
      <c r="AI16" s="2489"/>
      <c r="AQ16" s="1074">
        <v>0</v>
      </c>
    </row>
    <row r="17" spans="1:43" ht="14.25" hidden="1" customHeight="1">
      <c r="AI17" s="264"/>
      <c r="AQ17" s="1074">
        <v>0</v>
      </c>
    </row>
    <row r="18" spans="1:43" s="2244" customFormat="1" ht="22.5" hidden="1" customHeight="1">
      <c r="L18" s="1340"/>
      <c r="M18" s="1281"/>
      <c r="N18" s="1281"/>
      <c r="O18" s="1286" t="s">
        <v>415</v>
      </c>
      <c r="P18" s="1281"/>
      <c r="Q18" s="1290"/>
      <c r="R18" s="1290"/>
      <c r="S18" s="666"/>
      <c r="Y18" s="1286"/>
      <c r="AA18" s="1286"/>
      <c r="AB18" s="1285"/>
      <c r="AF18" s="1286"/>
      <c r="AH18" s="1286"/>
      <c r="AI18" s="1285"/>
      <c r="AL18" s="448"/>
      <c r="AM18" s="448"/>
      <c r="AN18" s="448"/>
      <c r="AO18" s="448"/>
      <c r="AP18" s="448"/>
      <c r="AQ18" s="1079">
        <v>0</v>
      </c>
    </row>
    <row r="19" spans="1:43" s="2244" customFormat="1" ht="14.25" hidden="1" customHeight="1">
      <c r="L19" s="1340"/>
      <c r="M19" s="1281"/>
      <c r="N19" s="1281"/>
      <c r="O19" s="1281"/>
      <c r="P19" s="1281"/>
      <c r="Q19" s="1290"/>
      <c r="R19" s="1290"/>
      <c r="S19" s="666"/>
      <c r="AB19" s="1285"/>
      <c r="AI19" s="1285"/>
      <c r="AL19" s="448"/>
      <c r="AM19" s="448"/>
      <c r="AN19" s="448"/>
      <c r="AO19" s="448"/>
      <c r="AP19" s="448"/>
      <c r="AQ19" s="1079">
        <v>0</v>
      </c>
    </row>
    <row r="20" spans="1:43" s="2244" customFormat="1" ht="12" hidden="1" customHeight="1">
      <c r="L20" s="1340"/>
      <c r="M20" s="1281"/>
      <c r="N20" s="1281"/>
      <c r="O20" s="1283" t="s">
        <v>416</v>
      </c>
      <c r="P20" s="1281"/>
      <c r="Q20" s="1361"/>
      <c r="R20" s="1361"/>
      <c r="S20" s="666"/>
      <c r="T20" s="1079" t="s">
        <v>417</v>
      </c>
      <c r="Z20" s="123" t="s">
        <v>418</v>
      </c>
      <c r="AB20" s="123" t="s">
        <v>419</v>
      </c>
      <c r="AC20" s="1079" t="s">
        <v>417</v>
      </c>
      <c r="AG20" s="123" t="s">
        <v>420</v>
      </c>
      <c r="AI20" s="123" t="s">
        <v>419</v>
      </c>
      <c r="AQ20" s="1079">
        <v>0</v>
      </c>
    </row>
    <row r="21" spans="1:43" ht="14.25" hidden="1" customHeight="1">
      <c r="O21" s="1283"/>
      <c r="AQ21" s="1074">
        <v>0</v>
      </c>
    </row>
    <row r="22" spans="1:43" ht="14.25" hidden="1" customHeight="1">
      <c r="O22" s="1283"/>
      <c r="AQ22" s="1074">
        <v>0</v>
      </c>
    </row>
    <row r="23" spans="1:43" ht="14.65" customHeight="1">
      <c r="Q23" s="313"/>
      <c r="R23" s="313"/>
      <c r="S23" s="1194"/>
      <c r="T23" s="300"/>
      <c r="U23" s="300"/>
      <c r="V23" s="446"/>
      <c r="W23" s="446"/>
      <c r="X23" s="446"/>
      <c r="Y23" s="446"/>
      <c r="Z23" s="446"/>
      <c r="AA23" s="446"/>
      <c r="AB23" s="446"/>
      <c r="AC23" s="446"/>
      <c r="AD23" s="446"/>
      <c r="AE23" s="446"/>
      <c r="AF23" s="446"/>
      <c r="AG23" s="446"/>
      <c r="AH23" s="446"/>
      <c r="AI23" s="446"/>
      <c r="AQ23" s="1074">
        <v>14</v>
      </c>
    </row>
    <row r="24" spans="1:43" ht="14.65" customHeight="1">
      <c r="Q24" s="313"/>
      <c r="R24" s="313"/>
      <c r="S24" s="24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67"/>
      <c r="U24" s="2467"/>
      <c r="V24" s="2467"/>
      <c r="W24" s="2467"/>
      <c r="X24" s="2467"/>
      <c r="Y24" s="2467"/>
      <c r="Z24" s="2467"/>
      <c r="AA24" s="2467"/>
      <c r="AB24" s="2467"/>
      <c r="AC24" s="2467"/>
      <c r="AD24" s="2467"/>
      <c r="AE24" s="2467"/>
      <c r="AF24" s="2467"/>
      <c r="AG24" s="2467"/>
      <c r="AH24" s="2467"/>
      <c r="AI24" s="1162"/>
      <c r="AQ24" s="1074">
        <v>14</v>
      </c>
    </row>
    <row r="25" spans="1:43" ht="14.65" customHeight="1">
      <c r="Q25" s="313"/>
      <c r="R25" s="313"/>
      <c r="S25" s="2412" t="str">
        <f>IF(org=0,"Не определено",org)</f>
        <v>МУП "Водоканал"</v>
      </c>
      <c r="T25" s="2412"/>
      <c r="U25" s="2412"/>
      <c r="V25" s="2412"/>
      <c r="W25" s="2412"/>
      <c r="X25" s="2412"/>
      <c r="Y25" s="2412"/>
      <c r="Z25" s="2412"/>
      <c r="AA25" s="2412"/>
      <c r="AB25" s="2412"/>
      <c r="AC25" s="2412"/>
      <c r="AD25" s="2412"/>
      <c r="AE25" s="2412"/>
      <c r="AF25" s="2412"/>
      <c r="AG25" s="2412"/>
      <c r="AH25" s="2412"/>
      <c r="AI25" s="1162"/>
      <c r="AQ25" s="1074">
        <v>14</v>
      </c>
    </row>
    <row r="26" spans="1:43" ht="14.25" hidden="1" customHeight="1">
      <c r="Q26" s="313"/>
      <c r="R26" s="313"/>
      <c r="S26" s="1194"/>
      <c r="T26" s="300"/>
      <c r="U26" s="300"/>
      <c r="V26" s="259"/>
      <c r="W26" s="259"/>
      <c r="X26" s="259"/>
      <c r="Y26" s="259"/>
      <c r="Z26" s="259"/>
      <c r="AA26" s="259"/>
      <c r="AB26" s="259"/>
      <c r="AC26" s="259"/>
      <c r="AD26" s="259"/>
      <c r="AE26" s="259"/>
      <c r="AF26" s="259"/>
      <c r="AG26" s="259"/>
      <c r="AH26" s="259"/>
      <c r="AI26" s="259"/>
      <c r="AJ26" s="446"/>
      <c r="AQ26" s="1074">
        <v>0</v>
      </c>
    </row>
    <row r="27" spans="1:43" s="2254" customFormat="1" ht="25.5" hidden="1" customHeight="1">
      <c r="A27" s="1287"/>
      <c r="B27" s="1287"/>
      <c r="C27" s="1287"/>
      <c r="D27" s="1287"/>
      <c r="E27" s="1287"/>
      <c r="F27" s="1287"/>
      <c r="G27" s="1287"/>
      <c r="H27" s="1287"/>
      <c r="I27" s="1287"/>
      <c r="J27" s="1287"/>
      <c r="K27" s="1287"/>
      <c r="L27" s="1288"/>
      <c r="M27" s="1287"/>
      <c r="N27" s="1287"/>
      <c r="O27" s="1287"/>
      <c r="S27" s="2475" t="s">
        <v>41</v>
      </c>
      <c r="T27" s="2475"/>
      <c r="U27" s="1291"/>
      <c r="V27" s="2476" t="str">
        <f>IF(TITLE_NAME_OR_PR_CHANGE="",IF(TITLE_NAME_OR_PR="","",TITLE_NAME_OR_PR),TITLE_NAME_OR_PR_CHANGE)</f>
        <v/>
      </c>
      <c r="W27" s="2476"/>
      <c r="X27" s="2476"/>
      <c r="Y27" s="2476"/>
      <c r="Z27" s="2476"/>
      <c r="AA27" s="2476"/>
      <c r="AB27" s="263"/>
      <c r="AC27" s="2476" t="str">
        <f>IF(TITLE_NAME_OR_PR_CHANGE="",IF(TITLE_NAME_OR_PR="","",TITLE_NAME_OR_PR),TITLE_NAME_OR_PR_CHANGE)</f>
        <v/>
      </c>
      <c r="AD27" s="2476"/>
      <c r="AE27" s="2476"/>
      <c r="AF27" s="2476"/>
      <c r="AG27" s="2476"/>
      <c r="AH27" s="2476"/>
      <c r="AI27" s="263"/>
      <c r="AJ27" s="263"/>
      <c r="AK27" s="217"/>
      <c r="AL27" s="305"/>
      <c r="AM27" s="305"/>
      <c r="AN27" s="305"/>
      <c r="AO27" s="305"/>
      <c r="AP27" s="305"/>
      <c r="AQ27" s="355">
        <v>0</v>
      </c>
    </row>
    <row r="28" spans="1:43" s="2254" customFormat="1" ht="18.75" hidden="1" customHeight="1">
      <c r="A28" s="1287"/>
      <c r="B28" s="1287"/>
      <c r="C28" s="1287"/>
      <c r="D28" s="1287"/>
      <c r="E28" s="1287"/>
      <c r="F28" s="1287"/>
      <c r="G28" s="1287"/>
      <c r="H28" s="1287"/>
      <c r="I28" s="1287"/>
      <c r="J28" s="1287"/>
      <c r="K28" s="1287"/>
      <c r="L28" s="1288"/>
      <c r="M28" s="1287"/>
      <c r="N28" s="1287"/>
      <c r="O28" s="1287"/>
      <c r="S28" s="2475" t="s">
        <v>421</v>
      </c>
      <c r="T28" s="2475"/>
      <c r="U28" s="1291"/>
      <c r="V28" s="2485" t="str">
        <f>IF(TITLE_DATE_PR_CHANGE="",IF(TITLE_DATE_PR="","",TITLE_DATE_PR),TITLE_DATE_PR_CHANGE)</f>
        <v/>
      </c>
      <c r="W28" s="2485"/>
      <c r="X28" s="2485"/>
      <c r="Y28" s="2485"/>
      <c r="Z28" s="2485"/>
      <c r="AA28" s="2485"/>
      <c r="AB28" s="263"/>
      <c r="AC28" s="2485" t="str">
        <f>IF(TITLE_DATE_PR_CHANGE="",IF(TITLE_DATE_PR="","",TITLE_DATE_PR),TITLE_DATE_PR_CHANGE)</f>
        <v/>
      </c>
      <c r="AD28" s="2485"/>
      <c r="AE28" s="2485"/>
      <c r="AF28" s="2485"/>
      <c r="AG28" s="2485"/>
      <c r="AH28" s="2485"/>
      <c r="AI28" s="263"/>
      <c r="AJ28" s="263"/>
      <c r="AK28" s="217"/>
      <c r="AL28" s="305"/>
      <c r="AM28" s="305"/>
      <c r="AN28" s="305"/>
      <c r="AO28" s="305"/>
      <c r="AP28" s="305"/>
      <c r="AQ28" s="355">
        <v>0</v>
      </c>
    </row>
    <row r="29" spans="1:43" s="2254" customFormat="1" ht="18.75" hidden="1" customHeight="1">
      <c r="A29" s="1287"/>
      <c r="B29" s="1287"/>
      <c r="C29" s="1287"/>
      <c r="D29" s="1287"/>
      <c r="E29" s="1287"/>
      <c r="F29" s="1287"/>
      <c r="G29" s="1287"/>
      <c r="H29" s="1287"/>
      <c r="I29" s="1287"/>
      <c r="J29" s="1287"/>
      <c r="K29" s="1287"/>
      <c r="L29" s="1288"/>
      <c r="M29" s="1287"/>
      <c r="N29" s="1287"/>
      <c r="O29" s="1287"/>
      <c r="S29" s="2475" t="s">
        <v>422</v>
      </c>
      <c r="T29" s="2475"/>
      <c r="U29" s="1291"/>
      <c r="V29" s="2476" t="str">
        <f>IF(TITLE_NUMBER_PR_CHANGE="",IF(TITLE_NUMBER_PR="","",TITLE_NUMBER_PR),TITLE_NUMBER_PR_CHANGE)</f>
        <v/>
      </c>
      <c r="W29" s="2476"/>
      <c r="X29" s="2476"/>
      <c r="Y29" s="2476"/>
      <c r="Z29" s="2476"/>
      <c r="AA29" s="2476"/>
      <c r="AB29" s="263"/>
      <c r="AC29" s="2476" t="str">
        <f>IF(TITLE_NUMBER_PR_CHANGE="",IF(TITLE_NUMBER_PR="","",TITLE_NUMBER_PR),TITLE_NUMBER_PR_CHANGE)</f>
        <v/>
      </c>
      <c r="AD29" s="2476"/>
      <c r="AE29" s="2476"/>
      <c r="AF29" s="2476"/>
      <c r="AG29" s="2476"/>
      <c r="AH29" s="2476"/>
      <c r="AI29" s="263"/>
      <c r="AJ29" s="263"/>
      <c r="AK29" s="217"/>
      <c r="AL29" s="305"/>
      <c r="AM29" s="305"/>
      <c r="AN29" s="305"/>
      <c r="AO29" s="305"/>
      <c r="AP29" s="305"/>
      <c r="AQ29" s="355">
        <v>0</v>
      </c>
    </row>
    <row r="30" spans="1:43" s="2254" customFormat="1" ht="18.75" hidden="1" customHeight="1">
      <c r="A30" s="1287"/>
      <c r="B30" s="1287"/>
      <c r="C30" s="1287"/>
      <c r="D30" s="1287"/>
      <c r="E30" s="1287"/>
      <c r="F30" s="1287"/>
      <c r="G30" s="1287"/>
      <c r="H30" s="1287"/>
      <c r="I30" s="1287"/>
      <c r="J30" s="1287"/>
      <c r="K30" s="1287"/>
      <c r="L30" s="1288"/>
      <c r="M30" s="1287"/>
      <c r="N30" s="1287"/>
      <c r="O30" s="1287"/>
      <c r="S30" s="2475" t="s">
        <v>42</v>
      </c>
      <c r="T30" s="2475"/>
      <c r="U30" s="1291"/>
      <c r="V30" s="2476" t="str">
        <f>IF(TITLE_IST_PUB_CHANGE="",IF(TITLE_IST_PUB="","",TITLE_IST_PUB),TITLE_IST_PUB_CHANGE)</f>
        <v/>
      </c>
      <c r="W30" s="2476"/>
      <c r="X30" s="2476"/>
      <c r="Y30" s="2476"/>
      <c r="Z30" s="2476"/>
      <c r="AA30" s="2476"/>
      <c r="AB30" s="263"/>
      <c r="AC30" s="2476" t="str">
        <f>IF(TITLE_IST_PUB_CHANGE="",IF(TITLE_IST_PUB="","",TITLE_IST_PUB),TITLE_IST_PUB_CHANGE)</f>
        <v/>
      </c>
      <c r="AD30" s="2476"/>
      <c r="AE30" s="2476"/>
      <c r="AF30" s="2476"/>
      <c r="AG30" s="2476"/>
      <c r="AH30" s="2476"/>
      <c r="AI30" s="263"/>
      <c r="AJ30" s="263"/>
      <c r="AK30" s="217"/>
      <c r="AL30" s="305"/>
      <c r="AM30" s="305"/>
      <c r="AN30" s="305"/>
      <c r="AO30" s="305"/>
      <c r="AP30" s="305"/>
      <c r="AQ30" s="355">
        <v>0</v>
      </c>
    </row>
    <row r="31" spans="1:43" ht="14.25" hidden="1" customHeight="1">
      <c r="Q31" s="313"/>
      <c r="R31" s="313"/>
      <c r="S31" s="1194"/>
      <c r="T31" s="300"/>
      <c r="U31" s="300"/>
      <c r="V31" s="259"/>
      <c r="W31" s="259"/>
      <c r="X31" s="259"/>
      <c r="Y31" s="259"/>
      <c r="Z31" s="259"/>
      <c r="AA31" s="259"/>
      <c r="AB31" s="259"/>
      <c r="AC31" s="259"/>
      <c r="AD31" s="259"/>
      <c r="AE31" s="259"/>
      <c r="AF31" s="259"/>
      <c r="AG31" s="259"/>
      <c r="AH31" s="259"/>
      <c r="AI31" s="259"/>
      <c r="AJ31" s="446"/>
      <c r="AQ31" s="1074">
        <v>0</v>
      </c>
    </row>
    <row r="32" spans="1:43" s="2254" customFormat="1" ht="18.75" hidden="1" customHeight="1">
      <c r="A32" s="1287"/>
      <c r="B32" s="1287"/>
      <c r="C32" s="1287"/>
      <c r="D32" s="1287"/>
      <c r="E32" s="1287"/>
      <c r="F32" s="1287"/>
      <c r="G32" s="1287"/>
      <c r="H32" s="1287"/>
      <c r="I32" s="1287"/>
      <c r="J32" s="1287"/>
      <c r="K32" s="1287"/>
      <c r="L32" s="1288"/>
      <c r="M32" s="1287"/>
      <c r="N32" s="1287"/>
      <c r="O32" s="1287"/>
      <c r="S32" s="2475" t="s">
        <v>423</v>
      </c>
      <c r="T32" s="2475"/>
      <c r="U32" s="1291"/>
      <c r="V32" s="2485" t="str">
        <f>IF(TITLE_DATE_PR_CHANGE="",IF(TITLE_DATE_PR="","",TITLE_DATE_PR),TITLE_DATE_PR_CHANGE)</f>
        <v/>
      </c>
      <c r="W32" s="2485"/>
      <c r="X32" s="2485"/>
      <c r="Y32" s="2485"/>
      <c r="Z32" s="2485"/>
      <c r="AA32" s="2485"/>
      <c r="AB32" s="263"/>
      <c r="AC32" s="2485" t="str">
        <f>IF(TITLE_DATE_PR_CHANGE="",IF(TITLE_DATE_PR="","",TITLE_DATE_PR),TITLE_DATE_PR_CHANGE)</f>
        <v/>
      </c>
      <c r="AD32" s="2485"/>
      <c r="AE32" s="2485"/>
      <c r="AF32" s="2485"/>
      <c r="AG32" s="2485"/>
      <c r="AH32" s="2485"/>
      <c r="AI32" s="263"/>
      <c r="AJ32" s="263"/>
      <c r="AK32" s="217"/>
      <c r="AL32" s="305"/>
      <c r="AM32" s="305"/>
      <c r="AN32" s="305"/>
      <c r="AO32" s="305"/>
      <c r="AP32" s="305"/>
      <c r="AQ32" s="355">
        <v>0</v>
      </c>
    </row>
    <row r="33" spans="1:43" s="2254" customFormat="1" ht="18.75" hidden="1" customHeight="1">
      <c r="A33" s="1287"/>
      <c r="B33" s="1287"/>
      <c r="C33" s="1287"/>
      <c r="D33" s="1287"/>
      <c r="E33" s="1287"/>
      <c r="F33" s="1287"/>
      <c r="G33" s="1287"/>
      <c r="H33" s="1287"/>
      <c r="I33" s="1287"/>
      <c r="J33" s="1287"/>
      <c r="K33" s="1287"/>
      <c r="L33" s="1288"/>
      <c r="M33" s="1287"/>
      <c r="N33" s="1287"/>
      <c r="O33" s="1287"/>
      <c r="S33" s="2475" t="s">
        <v>424</v>
      </c>
      <c r="T33" s="2475"/>
      <c r="U33" s="1291"/>
      <c r="V33" s="2476" t="str">
        <f>IF(TITLE_NUMBER_PR_CHANGE="",IF(TITLE_NUMBER_PR="","",TITLE_NUMBER_PR),TITLE_NUMBER_PR_CHANGE)</f>
        <v/>
      </c>
      <c r="W33" s="2476"/>
      <c r="X33" s="2476"/>
      <c r="Y33" s="2476"/>
      <c r="Z33" s="2476"/>
      <c r="AA33" s="2476"/>
      <c r="AB33" s="263"/>
      <c r="AC33" s="2476" t="str">
        <f>IF(TITLE_NUMBER_PR_CHANGE="",IF(TITLE_NUMBER_PR="","",TITLE_NUMBER_PR),TITLE_NUMBER_PR_CHANGE)</f>
        <v/>
      </c>
      <c r="AD33" s="2476"/>
      <c r="AE33" s="2476"/>
      <c r="AF33" s="2476"/>
      <c r="AG33" s="2476"/>
      <c r="AH33" s="2476"/>
      <c r="AI33" s="263"/>
      <c r="AJ33" s="263"/>
      <c r="AK33" s="217"/>
      <c r="AL33" s="305"/>
      <c r="AM33" s="305"/>
      <c r="AN33" s="305"/>
      <c r="AO33" s="305"/>
      <c r="AP33" s="305"/>
      <c r="AQ33" s="355">
        <v>0</v>
      </c>
    </row>
    <row r="34" spans="1:43" s="2254" customFormat="1" ht="1.1499999999999999" customHeight="1">
      <c r="A34" s="1287"/>
      <c r="B34" s="1287"/>
      <c r="C34" s="1287"/>
      <c r="D34" s="1287"/>
      <c r="E34" s="1287"/>
      <c r="F34" s="1287"/>
      <c r="G34" s="1287"/>
      <c r="H34" s="1287"/>
      <c r="I34" s="1287"/>
      <c r="J34" s="1287"/>
      <c r="K34" s="1287"/>
      <c r="L34" s="1288"/>
      <c r="M34" s="1287"/>
      <c r="N34" s="1287"/>
      <c r="O34" s="1287"/>
      <c r="S34" s="260"/>
      <c r="T34" s="260"/>
      <c r="U34" s="1274"/>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194"/>
      <c r="T35" s="300"/>
      <c r="U35" s="1163"/>
      <c r="V35" s="2477"/>
      <c r="W35" s="2477"/>
      <c r="X35" s="2477"/>
      <c r="Y35" s="2477"/>
      <c r="Z35" s="2477"/>
      <c r="AA35" s="2477"/>
      <c r="AB35" s="2477"/>
      <c r="AC35" s="2477"/>
      <c r="AD35" s="2477"/>
      <c r="AE35" s="2477"/>
      <c r="AF35" s="2477"/>
      <c r="AG35" s="2477"/>
      <c r="AH35" s="2477"/>
      <c r="AI35" s="2477"/>
      <c r="AQ35" s="1074">
        <v>14</v>
      </c>
    </row>
    <row r="36" spans="1:43" ht="14.65" customHeight="1">
      <c r="Q36" s="313"/>
      <c r="R36" s="313"/>
      <c r="S36" s="2363" t="s">
        <v>298</v>
      </c>
      <c r="T36" s="2363"/>
      <c r="U36" s="2363"/>
      <c r="V36" s="2363"/>
      <c r="W36" s="2363"/>
      <c r="X36" s="2363"/>
      <c r="Y36" s="2363"/>
      <c r="Z36" s="2363"/>
      <c r="AA36" s="2363"/>
      <c r="AB36" s="2363"/>
      <c r="AC36" s="2363"/>
      <c r="AD36" s="2363"/>
      <c r="AE36" s="2363"/>
      <c r="AF36" s="2363"/>
      <c r="AG36" s="2363"/>
      <c r="AH36" s="2363"/>
      <c r="AI36" s="2363"/>
      <c r="AJ36" s="2363"/>
      <c r="AK36" s="2363" t="s">
        <v>299</v>
      </c>
      <c r="AQ36" s="1074">
        <v>14</v>
      </c>
    </row>
    <row r="37" spans="1:43" ht="14.65" customHeight="1">
      <c r="Q37" s="313"/>
      <c r="R37" s="313"/>
      <c r="S37" s="2491" t="s">
        <v>87</v>
      </c>
      <c r="T37" s="2442" t="s">
        <v>426</v>
      </c>
      <c r="U37" s="238"/>
      <c r="V37" s="2492" t="s">
        <v>427</v>
      </c>
      <c r="W37" s="2493"/>
      <c r="X37" s="2493"/>
      <c r="Y37" s="2493"/>
      <c r="Z37" s="2493"/>
      <c r="AA37" s="2494"/>
      <c r="AB37" s="2495" t="s">
        <v>428</v>
      </c>
      <c r="AC37" s="2492" t="s">
        <v>427</v>
      </c>
      <c r="AD37" s="2493"/>
      <c r="AE37" s="2493"/>
      <c r="AF37" s="2493"/>
      <c r="AG37" s="2493"/>
      <c r="AH37" s="2494"/>
      <c r="AI37" s="2495" t="s">
        <v>429</v>
      </c>
      <c r="AJ37" s="2498" t="s">
        <v>430</v>
      </c>
      <c r="AK37" s="2363"/>
      <c r="AQ37" s="1074">
        <v>14</v>
      </c>
    </row>
    <row r="38" spans="1:43" ht="35.65" customHeight="1">
      <c r="Q38" s="313"/>
      <c r="R38" s="313"/>
      <c r="S38" s="2491"/>
      <c r="T38" s="2442"/>
      <c r="U38" s="955"/>
      <c r="V38" s="1271" t="s">
        <v>487</v>
      </c>
      <c r="W38" s="2335" t="s">
        <v>433</v>
      </c>
      <c r="X38" s="2334"/>
      <c r="Y38" s="2335" t="s">
        <v>434</v>
      </c>
      <c r="Z38" s="2340"/>
      <c r="AA38" s="2334"/>
      <c r="AB38" s="2496"/>
      <c r="AC38" s="1271" t="s">
        <v>487</v>
      </c>
      <c r="AD38" s="2335" t="s">
        <v>433</v>
      </c>
      <c r="AE38" s="2334"/>
      <c r="AF38" s="2335" t="s">
        <v>434</v>
      </c>
      <c r="AG38" s="2340"/>
      <c r="AH38" s="2334"/>
      <c r="AI38" s="2496"/>
      <c r="AJ38" s="2499"/>
      <c r="AK38" s="2363"/>
      <c r="AQ38" s="1074">
        <v>34</v>
      </c>
    </row>
    <row r="39" spans="1:43" ht="35.65" customHeight="1">
      <c r="A39" s="1289"/>
      <c r="B39" s="1289" t="s">
        <v>135</v>
      </c>
      <c r="C39" s="1289" t="s">
        <v>136</v>
      </c>
      <c r="D39" s="1289" t="s">
        <v>137</v>
      </c>
      <c r="E39" s="1283" t="s">
        <v>435</v>
      </c>
      <c r="F39" s="1283" t="s">
        <v>436</v>
      </c>
      <c r="G39" s="1283" t="s">
        <v>437</v>
      </c>
      <c r="H39" s="1283"/>
      <c r="I39" s="1283" t="s">
        <v>488</v>
      </c>
      <c r="J39" s="1283" t="s">
        <v>440</v>
      </c>
      <c r="K39" s="1283" t="s">
        <v>489</v>
      </c>
      <c r="L39" s="1283" t="s">
        <v>416</v>
      </c>
      <c r="Q39" s="313"/>
      <c r="R39" s="313"/>
      <c r="S39" s="2491"/>
      <c r="T39" s="2442"/>
      <c r="U39" s="239"/>
      <c r="V39" s="1271" t="s">
        <v>490</v>
      </c>
      <c r="W39" s="1141" t="s">
        <v>491</v>
      </c>
      <c r="X39" s="1141" t="s">
        <v>492</v>
      </c>
      <c r="Y39" s="1276" t="s">
        <v>444</v>
      </c>
      <c r="Z39" s="2451" t="s">
        <v>445</v>
      </c>
      <c r="AA39" s="2453"/>
      <c r="AB39" s="2497"/>
      <c r="AC39" s="1271" t="s">
        <v>490</v>
      </c>
      <c r="AD39" s="1141" t="s">
        <v>491</v>
      </c>
      <c r="AE39" s="1141" t="s">
        <v>492</v>
      </c>
      <c r="AF39" s="1276" t="s">
        <v>444</v>
      </c>
      <c r="AG39" s="2451" t="s">
        <v>445</v>
      </c>
      <c r="AH39" s="2453"/>
      <c r="AI39" s="2497"/>
      <c r="AJ39" s="2500"/>
      <c r="AK39" s="2363"/>
      <c r="AQ39" s="1074">
        <v>34</v>
      </c>
    </row>
    <row r="40" spans="1:43" s="2269"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108</v>
      </c>
      <c r="T40" s="1174" t="s">
        <v>109</v>
      </c>
      <c r="U40" s="1164" t="str">
        <f ca="1">OFFSET(U40,0,-1)</f>
        <v>2</v>
      </c>
      <c r="V40" s="1272">
        <f ca="1">OFFSET(V40,0,-1)+1</f>
        <v>3</v>
      </c>
      <c r="W40" s="1272">
        <f ca="1">OFFSET(W40,0,-1)+1</f>
        <v>4</v>
      </c>
      <c r="X40" s="1272">
        <f ca="1">OFFSET(X40,0,-1)+1</f>
        <v>5</v>
      </c>
      <c r="Y40" s="1272">
        <f ca="1">OFFSET(Y40,0,-1)+1</f>
        <v>6</v>
      </c>
      <c r="Z40" s="2490">
        <f ca="1">OFFSET(Z40,0,-1)+1</f>
        <v>7</v>
      </c>
      <c r="AA40" s="2490"/>
      <c r="AB40" s="1272">
        <f ca="1">OFFSET(AB40,0,-2)+1</f>
        <v>8</v>
      </c>
      <c r="AC40" s="1272">
        <f ca="1">OFFSET(AC40,0,-1)+1</f>
        <v>9</v>
      </c>
      <c r="AD40" s="1272">
        <f ca="1">OFFSET(AD40,0,-1)+1</f>
        <v>10</v>
      </c>
      <c r="AE40" s="1272">
        <f ca="1">OFFSET(AE40,0,-1)+1</f>
        <v>11</v>
      </c>
      <c r="AF40" s="1272">
        <f ca="1">OFFSET(AF40,0,-1)+1</f>
        <v>12</v>
      </c>
      <c r="AG40" s="2490">
        <f ca="1">OFFSET(AG40,0,-1)+1</f>
        <v>13</v>
      </c>
      <c r="AH40" s="2490"/>
      <c r="AI40" s="1272">
        <f ca="1">OFFSET(AI40,0,-2)+1</f>
        <v>14</v>
      </c>
      <c r="AJ40" s="1164">
        <f ca="1">OFFSET(AJ40,0,-1)</f>
        <v>14</v>
      </c>
      <c r="AK40" s="1272">
        <f ca="1">OFFSET(AK40,0,-1)+1</f>
        <v>15</v>
      </c>
      <c r="AL40" s="448"/>
      <c r="AM40" s="448"/>
      <c r="AN40" s="448"/>
      <c r="AO40" s="448"/>
      <c r="AP40" s="448"/>
      <c r="AQ40" s="433">
        <v>0</v>
      </c>
    </row>
    <row r="41" spans="1:43" ht="24" customHeight="1">
      <c r="A41" s="1282" t="s">
        <v>224</v>
      </c>
      <c r="B41" s="1282"/>
      <c r="C41" s="1282"/>
      <c r="D41" s="1282"/>
      <c r="E41" s="2483">
        <v>1</v>
      </c>
      <c r="F41" s="1282"/>
      <c r="G41" s="1282"/>
      <c r="H41" s="1282"/>
      <c r="I41" s="1282"/>
      <c r="J41" s="1282"/>
      <c r="K41" s="1282"/>
      <c r="L41" s="1283"/>
      <c r="M41" s="1284"/>
      <c r="N41" s="1284"/>
      <c r="O41" s="1284"/>
      <c r="P41" s="298"/>
      <c r="Q41" s="297"/>
      <c r="R41" s="292"/>
      <c r="S41" s="1277">
        <f>INDEX(PT_DIFFERENTIATION_NUM_NTAR,MATCH(A41,PT_DIFFERENTIATION_NTAR_ID,0))</f>
        <v>0</v>
      </c>
      <c r="T41" s="235" t="s">
        <v>123</v>
      </c>
      <c r="U41" s="237"/>
      <c r="V41" s="2469"/>
      <c r="W41" s="2470"/>
      <c r="X41" s="2470"/>
      <c r="Y41" s="2470"/>
      <c r="Z41" s="2470"/>
      <c r="AA41" s="2470"/>
      <c r="AB41" s="2471"/>
      <c r="AC41" s="2469" t="str">
        <f>INDEX(PT_DIFFERENTIATION_NTAR,MATCH(A41,PT_DIFFERENTIATION_NTAR_ID,0))</f>
        <v/>
      </c>
      <c r="AD41" s="2470"/>
      <c r="AE41" s="2470"/>
      <c r="AF41" s="2470"/>
      <c r="AG41" s="2470"/>
      <c r="AH41" s="2470"/>
      <c r="AI41" s="2470"/>
      <c r="AJ41" s="2471"/>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4">
        <v>23</v>
      </c>
    </row>
    <row r="42" spans="1:43" ht="24" customHeight="1">
      <c r="A42" s="1282" t="s">
        <v>224</v>
      </c>
      <c r="B42" s="1282" t="s">
        <v>225</v>
      </c>
      <c r="C42" s="1282"/>
      <c r="D42" s="1282"/>
      <c r="E42" s="2484"/>
      <c r="F42" s="2483">
        <v>1</v>
      </c>
      <c r="G42" s="1282"/>
      <c r="H42" s="1282"/>
      <c r="I42" s="1282"/>
      <c r="J42" s="1282"/>
      <c r="K42" s="1282"/>
      <c r="L42" s="1283"/>
      <c r="M42" s="1284"/>
      <c r="N42" s="1284"/>
      <c r="O42" s="1284"/>
      <c r="P42" s="1275"/>
      <c r="Q42" s="289"/>
      <c r="R42" s="290"/>
      <c r="S42" s="1277" t="str">
        <f>INDEX(PT_DIFFERENTIATION_NUM_TER,MATCH(B42,PT_DIFFERENTIATION_TER_ID,0))</f>
        <v>.</v>
      </c>
      <c r="T42" s="245" t="s">
        <v>395</v>
      </c>
      <c r="U42" s="237"/>
      <c r="V42" s="2469"/>
      <c r="W42" s="2470"/>
      <c r="X42" s="2470"/>
      <c r="Y42" s="2470"/>
      <c r="Z42" s="2470"/>
      <c r="AA42" s="2470"/>
      <c r="AB42" s="2471"/>
      <c r="AC42" s="2469" t="str">
        <f>INDEX(PT_DIFFERENTIATION_TER,MATCH(B42,PT_DIFFERENTIATION_TER_ID,0))</f>
        <v/>
      </c>
      <c r="AD42" s="2470"/>
      <c r="AE42" s="2470"/>
      <c r="AF42" s="2470"/>
      <c r="AG42" s="2470"/>
      <c r="AH42" s="2470"/>
      <c r="AI42" s="2470"/>
      <c r="AJ42" s="2471"/>
      <c r="AK42" s="1177" t="s">
        <v>396</v>
      </c>
      <c r="AM42" s="437"/>
      <c r="AN42" s="437" t="str">
        <f t="shared" si="1"/>
        <v>Территория действия тарифа</v>
      </c>
      <c r="AO42" s="437"/>
      <c r="AP42" s="437"/>
      <c r="AQ42" s="1074">
        <v>23</v>
      </c>
    </row>
    <row r="43" spans="1:43" ht="24" customHeight="1">
      <c r="A43" s="1282" t="s">
        <v>224</v>
      </c>
      <c r="B43" s="1282" t="s">
        <v>225</v>
      </c>
      <c r="C43" s="1282" t="s">
        <v>226</v>
      </c>
      <c r="D43" s="1282"/>
      <c r="E43" s="2484"/>
      <c r="F43" s="2484"/>
      <c r="G43" s="2483">
        <v>1</v>
      </c>
      <c r="H43" s="1282"/>
      <c r="I43" s="1282"/>
      <c r="J43" s="1282"/>
      <c r="K43" s="1282"/>
      <c r="L43" s="1283"/>
      <c r="M43" s="1284"/>
      <c r="N43" s="1284"/>
      <c r="O43" s="1284"/>
      <c r="P43" s="291"/>
      <c r="Q43" s="289"/>
      <c r="R43" s="290"/>
      <c r="S43" s="1277" t="str">
        <f>INDEX(PT_DIFFERENTIATION_NUM_CS,MATCH(C43,PT_DIFFERENTIATION_CS_ID,0))</f>
        <v>..</v>
      </c>
      <c r="T43" s="246" t="s">
        <v>479</v>
      </c>
      <c r="U43" s="237"/>
      <c r="V43" s="2469"/>
      <c r="W43" s="2470"/>
      <c r="X43" s="2470"/>
      <c r="Y43" s="2470"/>
      <c r="Z43" s="2470"/>
      <c r="AA43" s="2470"/>
      <c r="AB43" s="2471"/>
      <c r="AC43" s="2469" t="str">
        <f>INDEX(PT_DIFFERENTIATION_CS,MATCH(C43,PT_DIFFERENTIATION_CS_ID,0))</f>
        <v/>
      </c>
      <c r="AD43" s="2470"/>
      <c r="AE43" s="2470"/>
      <c r="AF43" s="2470"/>
      <c r="AG43" s="2470"/>
      <c r="AH43" s="2470"/>
      <c r="AI43" s="2470"/>
      <c r="AJ43" s="2471"/>
      <c r="AK43" s="1177" t="s">
        <v>480</v>
      </c>
      <c r="AM43" s="437"/>
      <c r="AN43" s="437" t="str">
        <f t="shared" si="1"/>
        <v>Наименование централизованной системы холодного водоснабжения</v>
      </c>
      <c r="AO43" s="437"/>
      <c r="AP43" s="437"/>
      <c r="AQ43" s="1074">
        <v>23</v>
      </c>
    </row>
    <row r="44" spans="1:43" ht="24" customHeight="1">
      <c r="A44" s="1282" t="s">
        <v>224</v>
      </c>
      <c r="B44" s="1282" t="s">
        <v>225</v>
      </c>
      <c r="C44" s="1282" t="s">
        <v>226</v>
      </c>
      <c r="D44" s="1282" t="s">
        <v>493</v>
      </c>
      <c r="E44" s="2484"/>
      <c r="F44" s="2484"/>
      <c r="G44" s="2484"/>
      <c r="H44" s="2484"/>
      <c r="I44" s="2481" t="str">
        <f>S43&amp;".1"</f>
        <v>...1</v>
      </c>
      <c r="J44" s="1282"/>
      <c r="K44" s="1282"/>
      <c r="L44" s="1283"/>
      <c r="P44" s="2482">
        <v>1</v>
      </c>
      <c r="Q44" s="1273"/>
      <c r="R44" s="293"/>
      <c r="S44" s="1277" t="str">
        <f>$I44</f>
        <v>...1</v>
      </c>
      <c r="T44" s="222" t="s">
        <v>481</v>
      </c>
      <c r="U44" s="237"/>
      <c r="V44" s="2550"/>
      <c r="W44" s="2551"/>
      <c r="X44" s="2551"/>
      <c r="Y44" s="2551"/>
      <c r="Z44" s="2551"/>
      <c r="AA44" s="2551"/>
      <c r="AB44" s="2552"/>
      <c r="AC44" s="2553"/>
      <c r="AD44" s="2554"/>
      <c r="AE44" s="2554"/>
      <c r="AF44" s="2554"/>
      <c r="AG44" s="2554"/>
      <c r="AH44" s="2554"/>
      <c r="AI44" s="2554"/>
      <c r="AJ44" s="2555"/>
      <c r="AK44" s="1177" t="s">
        <v>482</v>
      </c>
      <c r="AM44" s="437"/>
      <c r="AN44" s="437" t="str">
        <f t="shared" si="1"/>
        <v>Наименование признака дифференциации</v>
      </c>
      <c r="AO44" s="437"/>
      <c r="AP44" s="437"/>
      <c r="AQ44" s="1074">
        <v>23</v>
      </c>
    </row>
    <row r="45" spans="1:43" ht="24" customHeight="1">
      <c r="A45" s="1282" t="s">
        <v>224</v>
      </c>
      <c r="B45" s="1282" t="s">
        <v>225</v>
      </c>
      <c r="C45" s="1282" t="s">
        <v>226</v>
      </c>
      <c r="D45" s="1282" t="s">
        <v>493</v>
      </c>
      <c r="E45" s="2484"/>
      <c r="F45" s="2484"/>
      <c r="G45" s="2484"/>
      <c r="H45" s="2484"/>
      <c r="I45" s="2504"/>
      <c r="J45" s="2481" t="str">
        <f>I44&amp;".1"</f>
        <v>...1.1</v>
      </c>
      <c r="K45" s="1282"/>
      <c r="L45" s="1283" t="s">
        <v>404</v>
      </c>
      <c r="P45" s="2482"/>
      <c r="Q45" s="2482">
        <v>1</v>
      </c>
      <c r="R45" s="294"/>
      <c r="S45" s="1277" t="str">
        <f>$J45</f>
        <v>...1.1</v>
      </c>
      <c r="T45" s="223" t="s">
        <v>405</v>
      </c>
      <c r="U45" s="237"/>
      <c r="V45" s="2472"/>
      <c r="W45" s="2473"/>
      <c r="X45" s="2473"/>
      <c r="Y45" s="2473"/>
      <c r="Z45" s="2473"/>
      <c r="AA45" s="2473"/>
      <c r="AB45" s="2474"/>
      <c r="AC45" s="2472"/>
      <c r="AD45" s="2473"/>
      <c r="AE45" s="2473"/>
      <c r="AF45" s="2473"/>
      <c r="AG45" s="2473"/>
      <c r="AH45" s="2473"/>
      <c r="AI45" s="2473"/>
      <c r="AJ45" s="2474"/>
      <c r="AK45" s="1226" t="s">
        <v>483</v>
      </c>
      <c r="AM45" s="437"/>
      <c r="AN45" s="437" t="str">
        <f t="shared" si="1"/>
        <v>Группа потребителей</v>
      </c>
      <c r="AO45" s="437"/>
      <c r="AP45" s="437"/>
      <c r="AQ45" s="1074">
        <v>23</v>
      </c>
    </row>
    <row r="46" spans="1:43" ht="24" customHeight="1">
      <c r="A46" s="1282" t="s">
        <v>224</v>
      </c>
      <c r="B46" s="1282" t="s">
        <v>225</v>
      </c>
      <c r="C46" s="1282" t="s">
        <v>226</v>
      </c>
      <c r="D46" s="1282" t="s">
        <v>493</v>
      </c>
      <c r="E46" s="2484"/>
      <c r="F46" s="2484"/>
      <c r="G46" s="2484"/>
      <c r="H46" s="2484"/>
      <c r="I46" s="2504"/>
      <c r="J46" s="2504"/>
      <c r="K46" s="2481" t="str">
        <f>J45&amp;".1"</f>
        <v>...1.1.1</v>
      </c>
      <c r="L46" s="1283"/>
      <c r="P46" s="2482"/>
      <c r="Q46" s="2482"/>
      <c r="R46" s="294">
        <v>1</v>
      </c>
      <c r="S46" s="1277" t="str">
        <f>$K46</f>
        <v>...1.1.1</v>
      </c>
      <c r="T46" s="1356"/>
      <c r="U46" s="237"/>
      <c r="V46" s="1279"/>
      <c r="W46" s="1279"/>
      <c r="X46" s="1280"/>
      <c r="Y46" s="2488"/>
      <c r="Z46" s="2489" t="s">
        <v>64</v>
      </c>
      <c r="AA46" s="2488"/>
      <c r="AB46" s="2489" t="s">
        <v>64</v>
      </c>
      <c r="AC46" s="688"/>
      <c r="AD46" s="688"/>
      <c r="AE46" s="1176"/>
      <c r="AF46" s="2486"/>
      <c r="AG46" s="2344" t="s">
        <v>64</v>
      </c>
      <c r="AH46" s="2505"/>
      <c r="AI46" s="2344" t="s">
        <v>19</v>
      </c>
      <c r="AJ46" s="1357"/>
      <c r="AK46" s="25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4">
        <v>23</v>
      </c>
    </row>
    <row r="47" spans="1:43" ht="0" hidden="1" customHeight="1">
      <c r="A47" s="1282" t="s">
        <v>224</v>
      </c>
      <c r="B47" s="1282" t="s">
        <v>225</v>
      </c>
      <c r="C47" s="1282" t="s">
        <v>226</v>
      </c>
      <c r="D47" s="1282" t="s">
        <v>493</v>
      </c>
      <c r="E47" s="2484"/>
      <c r="F47" s="2484"/>
      <c r="G47" s="2484"/>
      <c r="H47" s="2484"/>
      <c r="I47" s="2504"/>
      <c r="J47" s="2504"/>
      <c r="K47" s="2481"/>
      <c r="L47" s="1283"/>
      <c r="P47" s="2482"/>
      <c r="Q47" s="2482"/>
      <c r="R47" s="294"/>
      <c r="S47" s="1278"/>
      <c r="T47" s="237"/>
      <c r="U47" s="237"/>
      <c r="V47" s="1279"/>
      <c r="W47" s="1279"/>
      <c r="X47" s="265" t="str">
        <f>Y46&amp;"-"&amp;AA46</f>
        <v>-</v>
      </c>
      <c r="Y47" s="2489"/>
      <c r="Z47" s="2489"/>
      <c r="AA47" s="2489"/>
      <c r="AB47" s="2489"/>
      <c r="AC47" s="262"/>
      <c r="AD47" s="262"/>
      <c r="AE47" s="265" t="str">
        <f>AF46&amp;"-"&amp;AH46</f>
        <v>-</v>
      </c>
      <c r="AF47" s="2487"/>
      <c r="AG47" s="2344"/>
      <c r="AH47" s="2506"/>
      <c r="AI47" s="2344"/>
      <c r="AJ47" s="1358"/>
      <c r="AK47" s="2549"/>
      <c r="AM47" s="437"/>
      <c r="AN47" s="437" t="str">
        <f t="shared" si="1"/>
        <v/>
      </c>
      <c r="AO47" s="437"/>
      <c r="AP47" s="437"/>
      <c r="AQ47" s="1074">
        <v>0</v>
      </c>
    </row>
    <row r="48" spans="1:43" ht="21" customHeight="1">
      <c r="A48" s="1282" t="s">
        <v>224</v>
      </c>
      <c r="B48" s="1282" t="s">
        <v>225</v>
      </c>
      <c r="C48" s="1282" t="s">
        <v>226</v>
      </c>
      <c r="D48" s="1282" t="s">
        <v>493</v>
      </c>
      <c r="E48" s="2484"/>
      <c r="F48" s="2484"/>
      <c r="G48" s="2484"/>
      <c r="H48" s="2484"/>
      <c r="I48" s="2504"/>
      <c r="J48" s="2481"/>
      <c r="K48" s="1282"/>
      <c r="L48" s="1283"/>
      <c r="P48" s="2482"/>
      <c r="Q48" s="2482"/>
      <c r="R48" s="293"/>
      <c r="S48" s="1197"/>
      <c r="T48" s="224" t="s">
        <v>484</v>
      </c>
      <c r="U48" s="304"/>
      <c r="V48" s="304"/>
      <c r="W48" s="304"/>
      <c r="X48" s="304"/>
      <c r="Y48" s="304"/>
      <c r="Z48" s="304"/>
      <c r="AA48" s="304"/>
      <c r="AB48" s="304"/>
      <c r="AC48" s="304"/>
      <c r="AD48" s="304"/>
      <c r="AE48" s="304"/>
      <c r="AF48" s="304"/>
      <c r="AG48" s="304"/>
      <c r="AH48" s="304"/>
      <c r="AI48" s="304"/>
      <c r="AJ48" s="304"/>
      <c r="AK48" s="1177" t="s">
        <v>485</v>
      </c>
      <c r="AM48" s="437"/>
      <c r="AN48" s="437" t="str">
        <f t="shared" si="1"/>
        <v>Добавить значение признака дифференциации</v>
      </c>
      <c r="AO48" s="437"/>
      <c r="AP48" s="437"/>
      <c r="AQ48" s="1074">
        <v>20</v>
      </c>
    </row>
    <row r="49" spans="1:43" ht="21.95" customHeight="1">
      <c r="A49" s="1282" t="s">
        <v>224</v>
      </c>
      <c r="B49" s="1282" t="s">
        <v>225</v>
      </c>
      <c r="C49" s="1282" t="s">
        <v>226</v>
      </c>
      <c r="D49" s="1282" t="s">
        <v>493</v>
      </c>
      <c r="E49" s="2484"/>
      <c r="F49" s="2484"/>
      <c r="G49" s="2484"/>
      <c r="H49" s="2484"/>
      <c r="I49" s="2481"/>
      <c r="J49" s="1282"/>
      <c r="K49" s="1282"/>
      <c r="L49" s="1283"/>
      <c r="P49" s="2482"/>
      <c r="Q49" s="1273"/>
      <c r="R49" s="293"/>
      <c r="S49" s="1197"/>
      <c r="T49" s="302" t="s">
        <v>410</v>
      </c>
      <c r="U49" s="304"/>
      <c r="V49" s="304"/>
      <c r="W49" s="304"/>
      <c r="X49" s="304"/>
      <c r="Y49" s="304"/>
      <c r="Z49" s="304"/>
      <c r="AA49" s="304"/>
      <c r="AB49" s="303"/>
      <c r="AC49" s="304"/>
      <c r="AD49" s="304"/>
      <c r="AE49" s="304"/>
      <c r="AF49" s="304"/>
      <c r="AG49" s="304"/>
      <c r="AH49" s="304"/>
      <c r="AI49" s="303"/>
      <c r="AJ49" s="304"/>
      <c r="AK49" s="1359"/>
      <c r="AM49" s="437"/>
      <c r="AN49" s="437" t="str">
        <f t="shared" si="1"/>
        <v>Добавить группу потребителей</v>
      </c>
      <c r="AO49" s="437"/>
      <c r="AP49" s="437"/>
      <c r="AQ49" s="1074">
        <v>21</v>
      </c>
    </row>
    <row r="50" spans="1:43" ht="21.95" customHeight="1">
      <c r="A50" s="1282" t="s">
        <v>224</v>
      </c>
      <c r="B50" s="1282" t="s">
        <v>225</v>
      </c>
      <c r="C50" s="1282" t="s">
        <v>226</v>
      </c>
      <c r="D50" s="1282" t="s">
        <v>493</v>
      </c>
      <c r="E50" s="2484"/>
      <c r="F50" s="2484"/>
      <c r="G50" s="2484"/>
      <c r="H50" s="2483"/>
      <c r="I50" s="1282"/>
      <c r="J50" s="1282"/>
      <c r="K50" s="1282"/>
      <c r="L50" s="1283"/>
      <c r="M50" s="1284"/>
      <c r="N50" s="1284"/>
      <c r="O50" s="474"/>
      <c r="P50" s="297"/>
      <c r="Q50" s="312"/>
      <c r="R50" s="292"/>
      <c r="S50" s="1197"/>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74">
        <v>21</v>
      </c>
    </row>
    <row r="51" spans="1:43" s="2245" customFormat="1" ht="0" hidden="1" customHeight="1">
      <c r="A51" s="1262" t="s">
        <v>224</v>
      </c>
      <c r="B51" s="1262" t="s">
        <v>225</v>
      </c>
      <c r="C51" s="1233"/>
      <c r="D51" s="1233"/>
      <c r="E51" s="2484"/>
      <c r="F51" s="2483"/>
      <c r="G51" s="1233"/>
      <c r="H51" s="1233"/>
      <c r="I51" s="1233"/>
      <c r="J51" s="1233"/>
      <c r="K51" s="1233"/>
      <c r="L51" s="1345"/>
      <c r="M51" s="1240"/>
      <c r="N51" s="1240"/>
      <c r="P51" s="1235"/>
      <c r="Q51" s="1236"/>
      <c r="R51" s="1235"/>
      <c r="S51" s="1241"/>
      <c r="T51" s="1244" t="s">
        <v>413</v>
      </c>
      <c r="U51" s="1243"/>
      <c r="V51" s="1243"/>
      <c r="W51" s="1243"/>
      <c r="X51" s="1243"/>
      <c r="Y51" s="1243"/>
      <c r="Z51" s="1243"/>
      <c r="AA51" s="1243"/>
      <c r="AB51" s="1243"/>
      <c r="AC51" s="1243"/>
      <c r="AD51" s="1243"/>
      <c r="AE51" s="1243"/>
      <c r="AF51" s="1243"/>
      <c r="AG51" s="1243"/>
      <c r="AH51" s="1243"/>
      <c r="AI51" s="1243"/>
      <c r="AJ51" s="1243"/>
      <c r="AK51" s="1243"/>
      <c r="AM51" s="720"/>
      <c r="AN51" s="720" t="str">
        <f t="shared" si="1"/>
        <v>Добавить централизованную систему для дифференциации</v>
      </c>
      <c r="AO51" s="720"/>
      <c r="AP51" s="720"/>
      <c r="AQ51" s="455">
        <v>0</v>
      </c>
    </row>
    <row r="52" spans="1:43" s="2245" customFormat="1" ht="0" hidden="1" customHeight="1">
      <c r="A52" s="1262" t="s">
        <v>224</v>
      </c>
      <c r="B52" s="1262"/>
      <c r="C52" s="1262"/>
      <c r="D52" s="1262"/>
      <c r="E52" s="2483"/>
      <c r="F52" s="1262"/>
      <c r="G52" s="1262"/>
      <c r="H52" s="1262"/>
      <c r="I52" s="1262"/>
      <c r="J52" s="1262"/>
      <c r="K52" s="1262"/>
      <c r="L52" s="1265"/>
      <c r="M52" s="1240"/>
      <c r="N52" s="1240"/>
      <c r="O52" s="455"/>
      <c r="P52" s="317"/>
      <c r="Q52" s="1263"/>
      <c r="R52" s="317"/>
      <c r="S52" s="1241"/>
      <c r="T52" s="1244" t="s">
        <v>414</v>
      </c>
      <c r="U52" s="1243"/>
      <c r="V52" s="1243"/>
      <c r="W52" s="1243"/>
      <c r="X52" s="1243"/>
      <c r="Y52" s="1243"/>
      <c r="Z52" s="1243"/>
      <c r="AA52" s="1243"/>
      <c r="AB52" s="1243"/>
      <c r="AC52" s="1243"/>
      <c r="AD52" s="1243"/>
      <c r="AE52" s="1243"/>
      <c r="AF52" s="1243"/>
      <c r="AG52" s="1243"/>
      <c r="AH52" s="1243"/>
      <c r="AI52" s="1243"/>
      <c r="AJ52" s="1243"/>
      <c r="AK52" s="1243"/>
      <c r="AM52" s="437"/>
      <c r="AN52" s="437" t="str">
        <f t="shared" si="1"/>
        <v>Добавить территорию для дифференциации</v>
      </c>
      <c r="AO52" s="437"/>
      <c r="AP52" s="437"/>
      <c r="AQ52" s="448">
        <v>0</v>
      </c>
    </row>
    <row r="53" spans="1:43" s="2245" customFormat="1" ht="0" hidden="1" customHeight="1">
      <c r="A53" s="1233"/>
      <c r="B53" s="1233"/>
      <c r="C53" s="1233"/>
      <c r="D53" s="1233"/>
      <c r="E53" s="1262"/>
      <c r="F53" s="1233"/>
      <c r="G53" s="1233"/>
      <c r="H53" s="1233"/>
      <c r="I53" s="1233"/>
      <c r="J53" s="1233"/>
      <c r="K53" s="1233"/>
      <c r="L53" s="1345"/>
      <c r="M53" s="1240"/>
      <c r="N53" s="1240"/>
      <c r="P53" s="1235"/>
      <c r="Q53" s="1236"/>
      <c r="R53" s="1235"/>
      <c r="S53" s="1241"/>
      <c r="T53" s="1244" t="s">
        <v>446</v>
      </c>
      <c r="U53" s="1243"/>
      <c r="V53" s="1243"/>
      <c r="W53" s="1243"/>
      <c r="X53" s="1243"/>
      <c r="Y53" s="1243"/>
      <c r="Z53" s="1243"/>
      <c r="AA53" s="1243"/>
      <c r="AB53" s="1243"/>
      <c r="AC53" s="1243"/>
      <c r="AD53" s="1243"/>
      <c r="AE53" s="1243"/>
      <c r="AF53" s="1243"/>
      <c r="AG53" s="1243"/>
      <c r="AH53" s="1243"/>
      <c r="AI53" s="1243"/>
      <c r="AJ53" s="1243"/>
      <c r="AK53" s="1243"/>
      <c r="AM53" s="720"/>
      <c r="AN53" s="720" t="str">
        <f t="shared" si="1"/>
        <v>Добавить наименование тарифа</v>
      </c>
      <c r="AO53" s="720"/>
      <c r="AP53" s="720"/>
      <c r="AQ53" s="455">
        <v>0</v>
      </c>
    </row>
    <row r="54" spans="1:43" ht="11.45" customHeight="1">
      <c r="M54" s="1079"/>
      <c r="N54" s="1079"/>
      <c r="O54" s="474"/>
      <c r="P54" s="1074"/>
      <c r="Q54" s="1074"/>
      <c r="R54" s="1074"/>
      <c r="S54" s="1074"/>
      <c r="AL54" s="1074"/>
      <c r="AM54" s="1074"/>
      <c r="AN54" s="1074"/>
      <c r="AO54" s="1074"/>
      <c r="AP54" s="1074"/>
      <c r="AQ54" s="1074">
        <v>11</v>
      </c>
    </row>
    <row r="55" spans="1:43" ht="14.65" customHeight="1">
      <c r="O55" s="474"/>
      <c r="S55" s="1172"/>
      <c r="T55" s="2503"/>
      <c r="U55" s="2503"/>
      <c r="V55" s="2503"/>
      <c r="W55" s="2503"/>
      <c r="X55" s="2503"/>
      <c r="Y55" s="2503"/>
      <c r="Z55" s="2503"/>
      <c r="AA55" s="2503"/>
      <c r="AB55" s="2503"/>
      <c r="AC55" s="2503"/>
      <c r="AD55" s="2503"/>
      <c r="AE55" s="2503"/>
      <c r="AF55" s="2503"/>
      <c r="AG55" s="2503"/>
      <c r="AH55" s="2503"/>
      <c r="AI55" s="2503"/>
      <c r="AJ55" s="2503"/>
      <c r="AK55" s="2503"/>
      <c r="AQ55" s="1074">
        <v>14</v>
      </c>
    </row>
    <row r="56" spans="1:43" ht="14.65" customHeight="1">
      <c r="O56" s="474"/>
      <c r="AQ56" s="1074">
        <v>14</v>
      </c>
    </row>
    <row r="57" spans="1:43" ht="14.65" customHeight="1">
      <c r="O57" s="474"/>
      <c r="S57" s="1172"/>
      <c r="T57" s="2503"/>
      <c r="U57" s="2503"/>
      <c r="V57" s="2503"/>
      <c r="W57" s="2503"/>
      <c r="X57" s="2503"/>
      <c r="Y57" s="2503"/>
      <c r="Z57" s="2503"/>
      <c r="AA57" s="2503"/>
      <c r="AB57" s="2503"/>
      <c r="AC57" s="2503"/>
      <c r="AD57" s="2503"/>
      <c r="AE57" s="2503"/>
      <c r="AF57" s="2503"/>
      <c r="AG57" s="2503"/>
      <c r="AH57" s="2503"/>
      <c r="AI57" s="2503"/>
      <c r="AJ57" s="2503"/>
      <c r="AK57" s="2503"/>
      <c r="AQ57" s="1074">
        <v>14</v>
      </c>
    </row>
    <row r="58" spans="1:43" ht="22.5" hidden="1" customHeight="1">
      <c r="A58" s="1079" t="s">
        <v>81</v>
      </c>
      <c r="B58" s="1079">
        <v>0</v>
      </c>
      <c r="C58" s="1079">
        <v>0</v>
      </c>
      <c r="D58" s="1079">
        <v>0</v>
      </c>
      <c r="E58" s="1079">
        <v>0</v>
      </c>
      <c r="F58" s="1079">
        <v>0</v>
      </c>
      <c r="G58" s="1079">
        <v>0</v>
      </c>
      <c r="H58" s="1079">
        <v>0</v>
      </c>
      <c r="I58" s="1079">
        <v>0</v>
      </c>
      <c r="J58" s="1079">
        <v>0</v>
      </c>
      <c r="K58" s="1079">
        <v>0</v>
      </c>
      <c r="L58" s="1340">
        <v>0</v>
      </c>
      <c r="M58" s="1281">
        <v>0</v>
      </c>
      <c r="N58" s="1281">
        <v>0</v>
      </c>
      <c r="O58" s="1281">
        <v>0</v>
      </c>
      <c r="P58" s="1270">
        <v>3</v>
      </c>
      <c r="Q58" s="281">
        <v>3</v>
      </c>
      <c r="R58" s="281">
        <v>3</v>
      </c>
      <c r="S58" s="518">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8">
        <v>10</v>
      </c>
      <c r="AM58" s="448">
        <v>10</v>
      </c>
      <c r="AN58" s="448">
        <v>10</v>
      </c>
      <c r="AO58" s="448">
        <v>10</v>
      </c>
      <c r="AP58" s="448">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44" hidden="1"/>
    <col min="2" max="2" width="11" style="2244" hidden="1" customWidth="1"/>
    <col min="3" max="3" width="10.5703125" style="2244" hidden="1"/>
    <col min="4" max="4" width="11.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4.140625" style="2244" hidden="1" customWidth="1"/>
    <col min="10" max="10" width="9.85546875" style="2244" hidden="1" customWidth="1"/>
    <col min="11" max="11" width="14.7109375" style="2244" hidden="1" customWidth="1"/>
    <col min="12" max="12" width="19.140625" style="2270" hidden="1" customWidth="1"/>
    <col min="13" max="14" width="12.28515625" style="2271" hidden="1" customWidth="1"/>
    <col min="15" max="15" width="23.42578125" style="2271" hidden="1" customWidth="1"/>
    <col min="16" max="16" width="3" style="2272" customWidth="1"/>
    <col min="17" max="18" width="3" style="2273" customWidth="1"/>
    <col min="19" max="19" width="12" style="2274" customWidth="1"/>
    <col min="20" max="20" width="35" style="2238" customWidth="1"/>
    <col min="21" max="21" width="0.140625" style="2238" customWidth="1"/>
    <col min="22" max="24" width="24.7109375" style="2238" hidden="1" customWidth="1"/>
    <col min="25" max="25" width="11.7109375" style="2238" hidden="1" customWidth="1"/>
    <col min="26" max="26" width="3.7109375" style="2238" hidden="1" customWidth="1"/>
    <col min="27" max="27" width="11.7109375" style="2238" hidden="1" customWidth="1"/>
    <col min="28" max="28" width="8.5703125" style="2238" hidden="1" customWidth="1"/>
    <col min="29" max="29" width="24.7109375" style="2238" customWidth="1"/>
    <col min="30" max="31" width="24" style="2238" customWidth="1"/>
    <col min="32" max="32" width="11" style="2238" customWidth="1"/>
    <col min="33" max="33" width="3.7109375" style="2238" customWidth="1"/>
    <col min="34" max="34" width="11" style="2238" customWidth="1"/>
    <col min="35" max="35" width="8.5703125" style="2238" hidden="1" customWidth="1"/>
    <col min="36" max="36" width="4" style="2238" customWidth="1"/>
    <col min="37" max="37" width="115" style="2238" customWidth="1"/>
    <col min="38" max="42" width="10" style="2245" customWidth="1"/>
    <col min="43" max="43" width="10.5703125" style="2238" hidden="1"/>
  </cols>
  <sheetData>
    <row r="1" spans="1:43" ht="22.5" hidden="1" customHeight="1">
      <c r="X1" s="264"/>
      <c r="Y1" s="264"/>
      <c r="AE1" s="264"/>
      <c r="AF1" s="264"/>
      <c r="AQ1" s="1074" t="s">
        <v>14</v>
      </c>
    </row>
    <row r="2" spans="1:43" ht="23.25" hidden="1" customHeight="1">
      <c r="A2" s="1282"/>
      <c r="B2" s="1282"/>
      <c r="C2" s="1282"/>
      <c r="D2" s="1282"/>
      <c r="E2" s="2483">
        <v>1</v>
      </c>
      <c r="F2" s="1282"/>
      <c r="G2" s="1282"/>
      <c r="H2" s="1282"/>
      <c r="I2" s="1282"/>
      <c r="J2" s="1282"/>
      <c r="K2" s="1282"/>
      <c r="L2" s="1283"/>
      <c r="M2" s="1284"/>
      <c r="N2" s="1284"/>
      <c r="O2" s="1284"/>
      <c r="P2" s="298"/>
      <c r="Q2" s="297"/>
      <c r="R2" s="292"/>
      <c r="S2" s="1376" t="e">
        <f>INDEX(PT_DIFFERENTIATION_NUM_NTAR,MATCH(A2,PT_DIFFERENTIATION_NTAR_ID,0))</f>
        <v>#N/A</v>
      </c>
      <c r="T2" s="235" t="s">
        <v>123</v>
      </c>
      <c r="U2" s="237"/>
      <c r="V2" s="2469"/>
      <c r="W2" s="2470"/>
      <c r="X2" s="2470"/>
      <c r="Y2" s="2470"/>
      <c r="Z2" s="2470"/>
      <c r="AA2" s="2470"/>
      <c r="AB2" s="2471"/>
      <c r="AC2" s="2469" t="e">
        <f>INDEX(PT_DIFFERENTIATION_NTAR,MATCH(A2,PT_DIFFERENTIATION_NTAR_ID,0))</f>
        <v>#N/A</v>
      </c>
      <c r="AD2" s="2470"/>
      <c r="AE2" s="2470"/>
      <c r="AF2" s="2470"/>
      <c r="AG2" s="2470"/>
      <c r="AH2" s="2470"/>
      <c r="AI2" s="2470"/>
      <c r="AJ2" s="2471"/>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4">
        <v>0</v>
      </c>
    </row>
    <row r="3" spans="1:43" ht="23.25" hidden="1" customHeight="1">
      <c r="A3" s="1282"/>
      <c r="B3" s="1282"/>
      <c r="C3" s="1282"/>
      <c r="D3" s="1282"/>
      <c r="E3" s="2484"/>
      <c r="F3" s="2483">
        <v>1</v>
      </c>
      <c r="G3" s="1282"/>
      <c r="H3" s="1282"/>
      <c r="I3" s="1282"/>
      <c r="J3" s="1282"/>
      <c r="K3" s="1282"/>
      <c r="L3" s="1283"/>
      <c r="M3" s="1284"/>
      <c r="N3" s="1284"/>
      <c r="O3" s="1284"/>
      <c r="P3" s="1372"/>
      <c r="Q3" s="289"/>
      <c r="R3" s="290"/>
      <c r="S3" s="1376" t="e">
        <f>INDEX(PT_DIFFERENTIATION_NUM_TER,MATCH(B3,PT_DIFFERENTIATION_TER_ID,0))</f>
        <v>#N/A</v>
      </c>
      <c r="T3" s="245" t="s">
        <v>395</v>
      </c>
      <c r="U3" s="237"/>
      <c r="V3" s="2469"/>
      <c r="W3" s="2470"/>
      <c r="X3" s="2470"/>
      <c r="Y3" s="2470"/>
      <c r="Z3" s="2470"/>
      <c r="AA3" s="2470"/>
      <c r="AB3" s="2471"/>
      <c r="AC3" s="2469" t="e">
        <f>INDEX(PT_DIFFERENTIATION_TER,MATCH(B3,PT_DIFFERENTIATION_TER_ID,0))</f>
        <v>#N/A</v>
      </c>
      <c r="AD3" s="2470"/>
      <c r="AE3" s="2470"/>
      <c r="AF3" s="2470"/>
      <c r="AG3" s="2470"/>
      <c r="AH3" s="2470"/>
      <c r="AI3" s="2470"/>
      <c r="AJ3" s="2471"/>
      <c r="AK3" s="1177" t="s">
        <v>396</v>
      </c>
      <c r="AM3" s="437"/>
      <c r="AN3" s="437" t="str">
        <f t="shared" si="0"/>
        <v>Территория действия тарифа</v>
      </c>
      <c r="AO3" s="437"/>
      <c r="AP3" s="437"/>
      <c r="AQ3" s="1074">
        <v>0</v>
      </c>
    </row>
    <row r="4" spans="1:43" ht="23.25" hidden="1" customHeight="1">
      <c r="A4" s="1282"/>
      <c r="B4" s="1282"/>
      <c r="C4" s="1282"/>
      <c r="D4" s="1282"/>
      <c r="E4" s="2484"/>
      <c r="F4" s="2484"/>
      <c r="G4" s="2483">
        <v>1</v>
      </c>
      <c r="H4" s="1282"/>
      <c r="I4" s="1282"/>
      <c r="J4" s="1282"/>
      <c r="K4" s="1282"/>
      <c r="L4" s="1283"/>
      <c r="M4" s="1284"/>
      <c r="N4" s="1284"/>
      <c r="O4" s="1284"/>
      <c r="P4" s="291"/>
      <c r="Q4" s="289"/>
      <c r="R4" s="290"/>
      <c r="S4" s="1376" t="e">
        <f>INDEX(PT_DIFFERENTIATION_NUM_CS,MATCH(C4,PT_DIFFERENTIATION_CS_ID,0))</f>
        <v>#N/A</v>
      </c>
      <c r="T4" s="246" t="s">
        <v>479</v>
      </c>
      <c r="U4" s="237"/>
      <c r="V4" s="2469"/>
      <c r="W4" s="2470"/>
      <c r="X4" s="2470"/>
      <c r="Y4" s="2470"/>
      <c r="Z4" s="2470"/>
      <c r="AA4" s="2470"/>
      <c r="AB4" s="2471"/>
      <c r="AC4" s="2469" t="e">
        <f>INDEX(PT_DIFFERENTIATION_CS,MATCH(C4,PT_DIFFERENTIATION_CS_ID,0))</f>
        <v>#N/A</v>
      </c>
      <c r="AD4" s="2470"/>
      <c r="AE4" s="2470"/>
      <c r="AF4" s="2470"/>
      <c r="AG4" s="2470"/>
      <c r="AH4" s="2470"/>
      <c r="AI4" s="2470"/>
      <c r="AJ4" s="2471"/>
      <c r="AK4" s="1177" t="s">
        <v>480</v>
      </c>
      <c r="AM4" s="437"/>
      <c r="AN4" s="437" t="str">
        <f t="shared" si="0"/>
        <v>Наименование централизованной системы холодного водоснабжения</v>
      </c>
      <c r="AO4" s="437"/>
      <c r="AP4" s="437"/>
      <c r="AQ4" s="1074">
        <v>0</v>
      </c>
    </row>
    <row r="5" spans="1:43" ht="23.25" hidden="1" customHeight="1">
      <c r="A5" s="1282"/>
      <c r="B5" s="1282"/>
      <c r="C5" s="1282"/>
      <c r="D5" s="1282"/>
      <c r="E5" s="2484"/>
      <c r="F5" s="2484"/>
      <c r="G5" s="2484"/>
      <c r="H5" s="2484"/>
      <c r="I5" s="2481" t="e">
        <f>S4&amp;".1"</f>
        <v>#N/A</v>
      </c>
      <c r="J5" s="1282"/>
      <c r="K5" s="1282"/>
      <c r="L5" s="1283"/>
      <c r="P5" s="2482">
        <v>1</v>
      </c>
      <c r="Q5" s="1369"/>
      <c r="R5" s="293"/>
      <c r="S5" s="1376" t="e">
        <f>$I5</f>
        <v>#N/A</v>
      </c>
      <c r="T5" s="222" t="s">
        <v>481</v>
      </c>
      <c r="U5" s="237"/>
      <c r="V5" s="2550"/>
      <c r="W5" s="2551"/>
      <c r="X5" s="2551"/>
      <c r="Y5" s="2551"/>
      <c r="Z5" s="2551"/>
      <c r="AA5" s="2551"/>
      <c r="AB5" s="2552"/>
      <c r="AC5" s="2553"/>
      <c r="AD5" s="2554"/>
      <c r="AE5" s="2554"/>
      <c r="AF5" s="2554"/>
      <c r="AG5" s="2554"/>
      <c r="AH5" s="2554"/>
      <c r="AI5" s="2554"/>
      <c r="AJ5" s="2555"/>
      <c r="AK5" s="1177" t="s">
        <v>482</v>
      </c>
      <c r="AM5" s="437"/>
      <c r="AN5" s="437" t="str">
        <f t="shared" si="0"/>
        <v>Наименование признака дифференциации</v>
      </c>
      <c r="AO5" s="437"/>
      <c r="AP5" s="437"/>
      <c r="AQ5" s="1074">
        <v>0</v>
      </c>
    </row>
    <row r="6" spans="1:43" ht="23.25" hidden="1" customHeight="1">
      <c r="A6" s="1282"/>
      <c r="B6" s="1282"/>
      <c r="C6" s="1282"/>
      <c r="D6" s="1282"/>
      <c r="E6" s="2484"/>
      <c r="F6" s="2484"/>
      <c r="G6" s="2484"/>
      <c r="H6" s="2484"/>
      <c r="I6" s="2504"/>
      <c r="J6" s="2481" t="e">
        <f>I5&amp;".1"</f>
        <v>#N/A</v>
      </c>
      <c r="K6" s="1282"/>
      <c r="L6" s="1283" t="s">
        <v>404</v>
      </c>
      <c r="P6" s="2482"/>
      <c r="Q6" s="2482">
        <v>1</v>
      </c>
      <c r="R6" s="294"/>
      <c r="S6" s="1376" t="e">
        <f>$J6</f>
        <v>#N/A</v>
      </c>
      <c r="T6" s="223" t="s">
        <v>405</v>
      </c>
      <c r="U6" s="237"/>
      <c r="V6" s="2472"/>
      <c r="W6" s="2473"/>
      <c r="X6" s="2473"/>
      <c r="Y6" s="2473"/>
      <c r="Z6" s="2473"/>
      <c r="AA6" s="2473"/>
      <c r="AB6" s="2474"/>
      <c r="AC6" s="2472"/>
      <c r="AD6" s="2473"/>
      <c r="AE6" s="2473"/>
      <c r="AF6" s="2473"/>
      <c r="AG6" s="2473"/>
      <c r="AH6" s="2473"/>
      <c r="AI6" s="2473"/>
      <c r="AJ6" s="2474"/>
      <c r="AK6" s="1226" t="s">
        <v>483</v>
      </c>
      <c r="AM6" s="437"/>
      <c r="AN6" s="437" t="str">
        <f t="shared" si="0"/>
        <v>Группа потребителей</v>
      </c>
      <c r="AO6" s="437"/>
      <c r="AP6" s="437"/>
      <c r="AQ6" s="1074">
        <v>0</v>
      </c>
    </row>
    <row r="7" spans="1:43" ht="23.25" hidden="1" customHeight="1">
      <c r="A7" s="1282"/>
      <c r="B7" s="1282"/>
      <c r="C7" s="1282"/>
      <c r="D7" s="1282"/>
      <c r="E7" s="2484"/>
      <c r="F7" s="2484"/>
      <c r="G7" s="2484"/>
      <c r="H7" s="2484"/>
      <c r="I7" s="2504"/>
      <c r="J7" s="2504"/>
      <c r="K7" s="2481" t="e">
        <f>J6&amp;".1"</f>
        <v>#N/A</v>
      </c>
      <c r="L7" s="1283"/>
      <c r="P7" s="2482"/>
      <c r="Q7" s="2482"/>
      <c r="R7" s="294">
        <v>1</v>
      </c>
      <c r="S7" s="1376" t="e">
        <f>$K7</f>
        <v>#N/A</v>
      </c>
      <c r="T7" s="1356"/>
      <c r="U7" s="237"/>
      <c r="V7" s="688"/>
      <c r="W7" s="688"/>
      <c r="X7" s="1176"/>
      <c r="Y7" s="2486"/>
      <c r="Z7" s="2344" t="s">
        <v>64</v>
      </c>
      <c r="AA7" s="2486"/>
      <c r="AB7" s="2344" t="s">
        <v>64</v>
      </c>
      <c r="AC7" s="688"/>
      <c r="AD7" s="688"/>
      <c r="AE7" s="1176"/>
      <c r="AF7" s="2486"/>
      <c r="AG7" s="2344" t="s">
        <v>64</v>
      </c>
      <c r="AH7" s="2505"/>
      <c r="AI7" s="2344" t="s">
        <v>64</v>
      </c>
      <c r="AJ7" s="1357"/>
      <c r="AK7" s="25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4">
        <v>0</v>
      </c>
    </row>
    <row r="8" spans="1:43" ht="14.25" hidden="1" customHeight="1">
      <c r="A8" s="1282"/>
      <c r="B8" s="1282"/>
      <c r="C8" s="1282"/>
      <c r="D8" s="1282"/>
      <c r="E8" s="2484"/>
      <c r="F8" s="2484"/>
      <c r="G8" s="2484"/>
      <c r="H8" s="2484"/>
      <c r="I8" s="2504"/>
      <c r="J8" s="2504"/>
      <c r="K8" s="2481"/>
      <c r="L8" s="1283"/>
      <c r="P8" s="2482"/>
      <c r="Q8" s="2482"/>
      <c r="R8" s="294"/>
      <c r="S8" s="1375"/>
      <c r="T8" s="237"/>
      <c r="U8" s="237"/>
      <c r="V8" s="262"/>
      <c r="W8" s="262"/>
      <c r="X8" s="265" t="str">
        <f>Y7&amp;"-"&amp;AA7</f>
        <v>-</v>
      </c>
      <c r="Y8" s="2487"/>
      <c r="Z8" s="2344"/>
      <c r="AA8" s="2487"/>
      <c r="AB8" s="2344"/>
      <c r="AC8" s="262"/>
      <c r="AD8" s="262"/>
      <c r="AE8" s="265" t="str">
        <f>AF7&amp;"-"&amp;AH7</f>
        <v>-</v>
      </c>
      <c r="AF8" s="2487"/>
      <c r="AG8" s="2344"/>
      <c r="AH8" s="2506"/>
      <c r="AI8" s="2344"/>
      <c r="AJ8" s="1358"/>
      <c r="AK8" s="2549"/>
      <c r="AM8" s="437"/>
      <c r="AN8" s="437" t="str">
        <f t="shared" si="0"/>
        <v/>
      </c>
      <c r="AO8" s="437"/>
      <c r="AP8" s="437"/>
      <c r="AQ8" s="1074">
        <v>0</v>
      </c>
    </row>
    <row r="9" spans="1:43" ht="21" hidden="1" customHeight="1">
      <c r="A9" s="1282"/>
      <c r="B9" s="1282"/>
      <c r="C9" s="1282"/>
      <c r="D9" s="1282"/>
      <c r="E9" s="2484"/>
      <c r="F9" s="2484"/>
      <c r="G9" s="2484"/>
      <c r="H9" s="2484"/>
      <c r="I9" s="2504"/>
      <c r="J9" s="2481"/>
      <c r="K9" s="1282"/>
      <c r="L9" s="1283"/>
      <c r="P9" s="2482"/>
      <c r="Q9" s="2482"/>
      <c r="R9" s="293"/>
      <c r="S9" s="1197"/>
      <c r="T9" s="224" t="s">
        <v>484</v>
      </c>
      <c r="U9" s="304"/>
      <c r="V9" s="304"/>
      <c r="W9" s="304"/>
      <c r="X9" s="304"/>
      <c r="Y9" s="304"/>
      <c r="Z9" s="304"/>
      <c r="AA9" s="304"/>
      <c r="AB9" s="304"/>
      <c r="AC9" s="304"/>
      <c r="AD9" s="304"/>
      <c r="AE9" s="304"/>
      <c r="AF9" s="304"/>
      <c r="AG9" s="304"/>
      <c r="AH9" s="304"/>
      <c r="AI9" s="304"/>
      <c r="AJ9" s="304"/>
      <c r="AK9" s="1177" t="s">
        <v>485</v>
      </c>
      <c r="AM9" s="437"/>
      <c r="AN9" s="437" t="str">
        <f t="shared" si="0"/>
        <v>Добавить значение признака дифференциации</v>
      </c>
      <c r="AO9" s="437"/>
      <c r="AP9" s="437"/>
      <c r="AQ9" s="1074">
        <v>0</v>
      </c>
    </row>
    <row r="10" spans="1:43" ht="21" hidden="1" customHeight="1">
      <c r="A10" s="1282"/>
      <c r="B10" s="1282"/>
      <c r="C10" s="1282"/>
      <c r="D10" s="1282"/>
      <c r="E10" s="2484"/>
      <c r="F10" s="2484"/>
      <c r="G10" s="2484"/>
      <c r="H10" s="2484"/>
      <c r="I10" s="2481"/>
      <c r="J10" s="1282"/>
      <c r="K10" s="1282"/>
      <c r="L10" s="1283"/>
      <c r="P10" s="2482"/>
      <c r="Q10" s="1369"/>
      <c r="R10" s="293"/>
      <c r="S10" s="1197"/>
      <c r="T10" s="302" t="s">
        <v>410</v>
      </c>
      <c r="U10" s="304"/>
      <c r="V10" s="304"/>
      <c r="W10" s="304"/>
      <c r="X10" s="304"/>
      <c r="Y10" s="304"/>
      <c r="Z10" s="304"/>
      <c r="AA10" s="304"/>
      <c r="AB10" s="303"/>
      <c r="AC10" s="304"/>
      <c r="AD10" s="304"/>
      <c r="AE10" s="304"/>
      <c r="AF10" s="304"/>
      <c r="AG10" s="304"/>
      <c r="AH10" s="304"/>
      <c r="AI10" s="303"/>
      <c r="AJ10" s="304"/>
      <c r="AK10" s="1359"/>
      <c r="AM10" s="437"/>
      <c r="AN10" s="437" t="str">
        <f t="shared" si="0"/>
        <v>Добавить группу потребителей</v>
      </c>
      <c r="AO10" s="437"/>
      <c r="AP10" s="437"/>
      <c r="AQ10" s="1074">
        <v>0</v>
      </c>
    </row>
    <row r="11" spans="1:43" ht="21" hidden="1" customHeight="1">
      <c r="A11" s="1282"/>
      <c r="B11" s="1282"/>
      <c r="C11" s="1282"/>
      <c r="D11" s="1282"/>
      <c r="E11" s="2484"/>
      <c r="F11" s="2484"/>
      <c r="G11" s="2484"/>
      <c r="H11" s="2483"/>
      <c r="I11" s="1282"/>
      <c r="J11" s="1282"/>
      <c r="K11" s="1282"/>
      <c r="L11" s="1283"/>
      <c r="M11" s="1284"/>
      <c r="N11" s="1284"/>
      <c r="O11" s="474"/>
      <c r="P11" s="297"/>
      <c r="Q11" s="312"/>
      <c r="R11" s="292"/>
      <c r="S11" s="1197"/>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74">
        <v>0</v>
      </c>
    </row>
    <row r="12" spans="1:43" s="2245" customFormat="1" ht="14.25" hidden="1" customHeight="1">
      <c r="A12" s="1262"/>
      <c r="B12" s="1262"/>
      <c r="C12" s="1233"/>
      <c r="D12" s="1233"/>
      <c r="E12" s="2484"/>
      <c r="F12" s="2483"/>
      <c r="G12" s="1233"/>
      <c r="H12" s="1233"/>
      <c r="I12" s="1233"/>
      <c r="J12" s="1233"/>
      <c r="K12" s="1233"/>
      <c r="L12" s="1377"/>
      <c r="M12" s="1240"/>
      <c r="N12" s="1240"/>
      <c r="P12" s="1235"/>
      <c r="Q12" s="1236"/>
      <c r="R12" s="1235"/>
      <c r="S12" s="1241"/>
      <c r="T12" s="1244" t="s">
        <v>413</v>
      </c>
      <c r="U12" s="1243"/>
      <c r="V12" s="1243"/>
      <c r="W12" s="1243"/>
      <c r="X12" s="1243"/>
      <c r="Y12" s="1243"/>
      <c r="Z12" s="1243"/>
      <c r="AA12" s="1243"/>
      <c r="AB12" s="1243"/>
      <c r="AC12" s="1243"/>
      <c r="AD12" s="1243"/>
      <c r="AE12" s="1243"/>
      <c r="AF12" s="1243"/>
      <c r="AG12" s="1243"/>
      <c r="AH12" s="1243"/>
      <c r="AI12" s="1243"/>
      <c r="AJ12" s="1243"/>
      <c r="AK12" s="1243"/>
      <c r="AM12" s="720"/>
      <c r="AN12" s="720" t="str">
        <f t="shared" si="0"/>
        <v>Добавить централизованную систему для дифференциации</v>
      </c>
      <c r="AO12" s="720"/>
      <c r="AP12" s="720"/>
      <c r="AQ12" s="455">
        <v>0</v>
      </c>
    </row>
    <row r="13" spans="1:43" s="2245" customFormat="1" ht="14.25" hidden="1" customHeight="1">
      <c r="A13" s="1262"/>
      <c r="B13" s="1262"/>
      <c r="C13" s="1262"/>
      <c r="D13" s="1262"/>
      <c r="E13" s="2483"/>
      <c r="F13" s="1262"/>
      <c r="G13" s="1262"/>
      <c r="H13" s="1262"/>
      <c r="I13" s="1262"/>
      <c r="J13" s="1262"/>
      <c r="K13" s="1262"/>
      <c r="L13" s="1265"/>
      <c r="M13" s="1240"/>
      <c r="N13" s="1240"/>
      <c r="O13" s="455"/>
      <c r="P13" s="317"/>
      <c r="Q13" s="1263"/>
      <c r="R13" s="317"/>
      <c r="S13" s="1241"/>
      <c r="T13" s="1244" t="s">
        <v>414</v>
      </c>
      <c r="U13" s="1243"/>
      <c r="V13" s="1243"/>
      <c r="W13" s="1243"/>
      <c r="X13" s="1243"/>
      <c r="Y13" s="1243"/>
      <c r="Z13" s="1243"/>
      <c r="AA13" s="1243"/>
      <c r="AB13" s="1243"/>
      <c r="AC13" s="1243"/>
      <c r="AD13" s="1243"/>
      <c r="AE13" s="1243"/>
      <c r="AF13" s="1243"/>
      <c r="AG13" s="1243"/>
      <c r="AH13" s="1243"/>
      <c r="AI13" s="1243"/>
      <c r="AJ13" s="1243"/>
      <c r="AK13" s="1243"/>
      <c r="AM13" s="437"/>
      <c r="AN13" s="437" t="str">
        <f t="shared" si="0"/>
        <v>Добавить территорию для дифференциации</v>
      </c>
      <c r="AO13" s="437"/>
      <c r="AP13" s="437"/>
      <c r="AQ13" s="448">
        <v>0</v>
      </c>
    </row>
    <row r="14" spans="1:43" ht="14.25" hidden="1" customHeight="1">
      <c r="AB14" s="264"/>
      <c r="AI14" s="264"/>
      <c r="AQ14" s="1074">
        <v>0</v>
      </c>
    </row>
    <row r="15" spans="1:43" ht="14.25" hidden="1" customHeight="1">
      <c r="AC15" s="1279"/>
      <c r="AD15" s="1279"/>
      <c r="AE15" s="1280"/>
      <c r="AF15" s="2488"/>
      <c r="AG15" s="2489" t="s">
        <v>64</v>
      </c>
      <c r="AH15" s="2488"/>
      <c r="AI15" s="2489" t="s">
        <v>64</v>
      </c>
      <c r="AQ15" s="1074">
        <v>0</v>
      </c>
    </row>
    <row r="16" spans="1:43" ht="14.25" hidden="1" customHeight="1">
      <c r="AC16" s="1279"/>
      <c r="AD16" s="1279"/>
      <c r="AE16" s="265" t="str">
        <f>AF15&amp;"-"&amp;AH15</f>
        <v>-</v>
      </c>
      <c r="AF16" s="2489"/>
      <c r="AG16" s="2489"/>
      <c r="AH16" s="2489"/>
      <c r="AI16" s="2489"/>
      <c r="AQ16" s="1074">
        <v>0</v>
      </c>
    </row>
    <row r="17" spans="1:43" ht="14.25" hidden="1" customHeight="1">
      <c r="AI17" s="264"/>
      <c r="AQ17" s="1074">
        <v>0</v>
      </c>
    </row>
    <row r="18" spans="1:43" s="2244" customFormat="1" ht="22.5" hidden="1" customHeight="1">
      <c r="L18" s="1366"/>
      <c r="M18" s="1281"/>
      <c r="N18" s="1281"/>
      <c r="O18" s="1286" t="s">
        <v>415</v>
      </c>
      <c r="P18" s="1281"/>
      <c r="Q18" s="1290"/>
      <c r="R18" s="1290"/>
      <c r="S18" s="666"/>
      <c r="Y18" s="1286"/>
      <c r="AA18" s="1286"/>
      <c r="AB18" s="1285"/>
      <c r="AF18" s="1286"/>
      <c r="AH18" s="1286"/>
      <c r="AI18" s="1285"/>
      <c r="AL18" s="448"/>
      <c r="AM18" s="448"/>
      <c r="AN18" s="448"/>
      <c r="AO18" s="448"/>
      <c r="AP18" s="448"/>
      <c r="AQ18" s="1079">
        <v>0</v>
      </c>
    </row>
    <row r="19" spans="1:43" s="2244" customFormat="1" ht="14.25" hidden="1" customHeight="1">
      <c r="L19" s="1366"/>
      <c r="M19" s="1281"/>
      <c r="N19" s="1281"/>
      <c r="O19" s="1281"/>
      <c r="P19" s="1281"/>
      <c r="Q19" s="1290"/>
      <c r="R19" s="1290"/>
      <c r="S19" s="666"/>
      <c r="AB19" s="1285"/>
      <c r="AI19" s="1285"/>
      <c r="AL19" s="448"/>
      <c r="AM19" s="448"/>
      <c r="AN19" s="448"/>
      <c r="AO19" s="448"/>
      <c r="AP19" s="448"/>
      <c r="AQ19" s="1079">
        <v>0</v>
      </c>
    </row>
    <row r="20" spans="1:43" s="2244" customFormat="1" ht="12" hidden="1" customHeight="1">
      <c r="L20" s="1366"/>
      <c r="M20" s="1281"/>
      <c r="N20" s="1281"/>
      <c r="O20" s="1283" t="s">
        <v>416</v>
      </c>
      <c r="P20" s="1281"/>
      <c r="Q20" s="1361"/>
      <c r="R20" s="1361"/>
      <c r="S20" s="666"/>
      <c r="T20" s="1079" t="s">
        <v>417</v>
      </c>
      <c r="Z20" s="123" t="s">
        <v>418</v>
      </c>
      <c r="AB20" s="123" t="s">
        <v>419</v>
      </c>
      <c r="AC20" s="1079" t="s">
        <v>417</v>
      </c>
      <c r="AG20" s="123" t="s">
        <v>420</v>
      </c>
      <c r="AI20" s="123" t="s">
        <v>419</v>
      </c>
      <c r="AQ20" s="1079">
        <v>0</v>
      </c>
    </row>
    <row r="21" spans="1:43" ht="14.25" hidden="1" customHeight="1">
      <c r="O21" s="1283"/>
      <c r="AQ21" s="1074">
        <v>0</v>
      </c>
    </row>
    <row r="22" spans="1:43" ht="14.25" hidden="1" customHeight="1">
      <c r="O22" s="1283"/>
      <c r="AQ22" s="1074">
        <v>0</v>
      </c>
    </row>
    <row r="23" spans="1:43" ht="14.65" customHeight="1">
      <c r="Q23" s="313"/>
      <c r="R23" s="313"/>
      <c r="S23" s="1194"/>
      <c r="T23" s="300"/>
      <c r="U23" s="300"/>
      <c r="V23" s="446"/>
      <c r="W23" s="446"/>
      <c r="X23" s="446"/>
      <c r="Y23" s="446"/>
      <c r="Z23" s="446"/>
      <c r="AA23" s="446"/>
      <c r="AB23" s="446"/>
      <c r="AC23" s="446"/>
      <c r="AD23" s="446"/>
      <c r="AE23" s="446"/>
      <c r="AF23" s="446"/>
      <c r="AG23" s="446"/>
      <c r="AH23" s="446"/>
      <c r="AI23" s="446"/>
      <c r="AQ23" s="1074">
        <v>14</v>
      </c>
    </row>
    <row r="24" spans="1:43" ht="14.65" customHeight="1">
      <c r="Q24" s="313"/>
      <c r="R24" s="313"/>
      <c r="S24" s="24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67"/>
      <c r="U24" s="2467"/>
      <c r="V24" s="2467"/>
      <c r="W24" s="2467"/>
      <c r="X24" s="2467"/>
      <c r="Y24" s="2467"/>
      <c r="Z24" s="2467"/>
      <c r="AA24" s="2467"/>
      <c r="AB24" s="2467"/>
      <c r="AC24" s="2467"/>
      <c r="AD24" s="2467"/>
      <c r="AE24" s="2467"/>
      <c r="AF24" s="2467"/>
      <c r="AG24" s="2467"/>
      <c r="AH24" s="2467"/>
      <c r="AI24" s="1162"/>
      <c r="AQ24" s="1074">
        <v>14</v>
      </c>
    </row>
    <row r="25" spans="1:43" ht="14.65" customHeight="1">
      <c r="Q25" s="313"/>
      <c r="R25" s="313"/>
      <c r="S25" s="2412" t="str">
        <f>IF(org=0,"Не определено",org)</f>
        <v>МУП "Водоканал"</v>
      </c>
      <c r="T25" s="2412"/>
      <c r="U25" s="2412"/>
      <c r="V25" s="2412"/>
      <c r="W25" s="2412"/>
      <c r="X25" s="2412"/>
      <c r="Y25" s="2412"/>
      <c r="Z25" s="2412"/>
      <c r="AA25" s="2412"/>
      <c r="AB25" s="2412"/>
      <c r="AC25" s="2412"/>
      <c r="AD25" s="2412"/>
      <c r="AE25" s="2412"/>
      <c r="AF25" s="2412"/>
      <c r="AG25" s="2412"/>
      <c r="AH25" s="2412"/>
      <c r="AI25" s="1162"/>
      <c r="AQ25" s="1074">
        <v>14</v>
      </c>
    </row>
    <row r="26" spans="1:43" ht="14.25" hidden="1" customHeight="1">
      <c r="Q26" s="313"/>
      <c r="R26" s="313"/>
      <c r="S26" s="1194"/>
      <c r="T26" s="300"/>
      <c r="U26" s="300"/>
      <c r="V26" s="259"/>
      <c r="W26" s="259"/>
      <c r="X26" s="259"/>
      <c r="Y26" s="259"/>
      <c r="Z26" s="259"/>
      <c r="AA26" s="259"/>
      <c r="AB26" s="259"/>
      <c r="AC26" s="259"/>
      <c r="AD26" s="259"/>
      <c r="AE26" s="259"/>
      <c r="AF26" s="259"/>
      <c r="AG26" s="259"/>
      <c r="AH26" s="259"/>
      <c r="AI26" s="259"/>
      <c r="AJ26" s="446"/>
      <c r="AQ26" s="1074">
        <v>0</v>
      </c>
    </row>
    <row r="27" spans="1:43" s="2254" customFormat="1" ht="25.5" hidden="1" customHeight="1">
      <c r="A27" s="1287"/>
      <c r="B27" s="1287"/>
      <c r="C27" s="1287"/>
      <c r="D27" s="1287"/>
      <c r="E27" s="1287"/>
      <c r="F27" s="1287"/>
      <c r="G27" s="1287"/>
      <c r="H27" s="1287"/>
      <c r="I27" s="1287"/>
      <c r="J27" s="1287"/>
      <c r="K27" s="1287"/>
      <c r="L27" s="1288"/>
      <c r="M27" s="1287"/>
      <c r="N27" s="1287"/>
      <c r="O27" s="1287"/>
      <c r="S27" s="2475" t="s">
        <v>41</v>
      </c>
      <c r="T27" s="2475"/>
      <c r="U27" s="1291"/>
      <c r="V27" s="2476" t="str">
        <f>IF(TITLE_NAME_OR_PR_CHANGE="",IF(TITLE_NAME_OR_PR="","",TITLE_NAME_OR_PR),TITLE_NAME_OR_PR_CHANGE)</f>
        <v/>
      </c>
      <c r="W27" s="2476"/>
      <c r="X27" s="2476"/>
      <c r="Y27" s="2476"/>
      <c r="Z27" s="2476"/>
      <c r="AA27" s="2476"/>
      <c r="AB27" s="263"/>
      <c r="AC27" s="2476" t="str">
        <f>IF(TITLE_NAME_OR_PR_CHANGE="",IF(TITLE_NAME_OR_PR="","",TITLE_NAME_OR_PR),TITLE_NAME_OR_PR_CHANGE)</f>
        <v/>
      </c>
      <c r="AD27" s="2476"/>
      <c r="AE27" s="2476"/>
      <c r="AF27" s="2476"/>
      <c r="AG27" s="2476"/>
      <c r="AH27" s="2476"/>
      <c r="AI27" s="263"/>
      <c r="AJ27" s="263"/>
      <c r="AK27" s="217"/>
      <c r="AL27" s="305"/>
      <c r="AM27" s="305"/>
      <c r="AN27" s="305"/>
      <c r="AO27" s="305"/>
      <c r="AP27" s="305"/>
      <c r="AQ27" s="355">
        <v>0</v>
      </c>
    </row>
    <row r="28" spans="1:43" s="2254" customFormat="1" ht="18.75" hidden="1" customHeight="1">
      <c r="A28" s="1287"/>
      <c r="B28" s="1287"/>
      <c r="C28" s="1287"/>
      <c r="D28" s="1287"/>
      <c r="E28" s="1287"/>
      <c r="F28" s="1287"/>
      <c r="G28" s="1287"/>
      <c r="H28" s="1287"/>
      <c r="I28" s="1287"/>
      <c r="J28" s="1287"/>
      <c r="K28" s="1287"/>
      <c r="L28" s="1288"/>
      <c r="M28" s="1287"/>
      <c r="N28" s="1287"/>
      <c r="O28" s="1287"/>
      <c r="S28" s="2475" t="s">
        <v>421</v>
      </c>
      <c r="T28" s="2475"/>
      <c r="U28" s="1291"/>
      <c r="V28" s="2485" t="str">
        <f>IF(TITLE_DATE_PR_CHANGE="",IF(TITLE_DATE_PR="","",TITLE_DATE_PR),TITLE_DATE_PR_CHANGE)</f>
        <v/>
      </c>
      <c r="W28" s="2485"/>
      <c r="X28" s="2485"/>
      <c r="Y28" s="2485"/>
      <c r="Z28" s="2485"/>
      <c r="AA28" s="2485"/>
      <c r="AB28" s="263"/>
      <c r="AC28" s="2485" t="str">
        <f>IF(TITLE_DATE_PR_CHANGE="",IF(TITLE_DATE_PR="","",TITLE_DATE_PR),TITLE_DATE_PR_CHANGE)</f>
        <v/>
      </c>
      <c r="AD28" s="2485"/>
      <c r="AE28" s="2485"/>
      <c r="AF28" s="2485"/>
      <c r="AG28" s="2485"/>
      <c r="AH28" s="2485"/>
      <c r="AI28" s="263"/>
      <c r="AJ28" s="263"/>
      <c r="AK28" s="217"/>
      <c r="AL28" s="305"/>
      <c r="AM28" s="305"/>
      <c r="AN28" s="305"/>
      <c r="AO28" s="305"/>
      <c r="AP28" s="305"/>
      <c r="AQ28" s="355">
        <v>0</v>
      </c>
    </row>
    <row r="29" spans="1:43" s="2254" customFormat="1" ht="18.75" hidden="1" customHeight="1">
      <c r="A29" s="1287"/>
      <c r="B29" s="1287"/>
      <c r="C29" s="1287"/>
      <c r="D29" s="1287"/>
      <c r="E29" s="1287"/>
      <c r="F29" s="1287"/>
      <c r="G29" s="1287"/>
      <c r="H29" s="1287"/>
      <c r="I29" s="1287"/>
      <c r="J29" s="1287"/>
      <c r="K29" s="1287"/>
      <c r="L29" s="1288"/>
      <c r="M29" s="1287"/>
      <c r="N29" s="1287"/>
      <c r="O29" s="1287"/>
      <c r="S29" s="2475" t="s">
        <v>422</v>
      </c>
      <c r="T29" s="2475"/>
      <c r="U29" s="1291"/>
      <c r="V29" s="2476" t="str">
        <f>IF(TITLE_NUMBER_PR_CHANGE="",IF(TITLE_NUMBER_PR="","",TITLE_NUMBER_PR),TITLE_NUMBER_PR_CHANGE)</f>
        <v/>
      </c>
      <c r="W29" s="2476"/>
      <c r="X29" s="2476"/>
      <c r="Y29" s="2476"/>
      <c r="Z29" s="2476"/>
      <c r="AA29" s="2476"/>
      <c r="AB29" s="263"/>
      <c r="AC29" s="2476" t="str">
        <f>IF(TITLE_NUMBER_PR_CHANGE="",IF(TITLE_NUMBER_PR="","",TITLE_NUMBER_PR),TITLE_NUMBER_PR_CHANGE)</f>
        <v/>
      </c>
      <c r="AD29" s="2476"/>
      <c r="AE29" s="2476"/>
      <c r="AF29" s="2476"/>
      <c r="AG29" s="2476"/>
      <c r="AH29" s="2476"/>
      <c r="AI29" s="263"/>
      <c r="AJ29" s="263"/>
      <c r="AK29" s="217"/>
      <c r="AL29" s="305"/>
      <c r="AM29" s="305"/>
      <c r="AN29" s="305"/>
      <c r="AO29" s="305"/>
      <c r="AP29" s="305"/>
      <c r="AQ29" s="355">
        <v>0</v>
      </c>
    </row>
    <row r="30" spans="1:43" s="2254" customFormat="1" ht="18.75" hidden="1" customHeight="1">
      <c r="A30" s="1287"/>
      <c r="B30" s="1287"/>
      <c r="C30" s="1287"/>
      <c r="D30" s="1287"/>
      <c r="E30" s="1287"/>
      <c r="F30" s="1287"/>
      <c r="G30" s="1287"/>
      <c r="H30" s="1287"/>
      <c r="I30" s="1287"/>
      <c r="J30" s="1287"/>
      <c r="K30" s="1287"/>
      <c r="L30" s="1288"/>
      <c r="M30" s="1287"/>
      <c r="N30" s="1287"/>
      <c r="O30" s="1287"/>
      <c r="S30" s="2475" t="s">
        <v>42</v>
      </c>
      <c r="T30" s="2475"/>
      <c r="U30" s="1291"/>
      <c r="V30" s="2476" t="str">
        <f>IF(TITLE_IST_PUB_CHANGE="",IF(TITLE_IST_PUB="","",TITLE_IST_PUB),TITLE_IST_PUB_CHANGE)</f>
        <v/>
      </c>
      <c r="W30" s="2476"/>
      <c r="X30" s="2476"/>
      <c r="Y30" s="2476"/>
      <c r="Z30" s="2476"/>
      <c r="AA30" s="2476"/>
      <c r="AB30" s="263"/>
      <c r="AC30" s="2476" t="str">
        <f>IF(TITLE_IST_PUB_CHANGE="",IF(TITLE_IST_PUB="","",TITLE_IST_PUB),TITLE_IST_PUB_CHANGE)</f>
        <v/>
      </c>
      <c r="AD30" s="2476"/>
      <c r="AE30" s="2476"/>
      <c r="AF30" s="2476"/>
      <c r="AG30" s="2476"/>
      <c r="AH30" s="2476"/>
      <c r="AI30" s="263"/>
      <c r="AJ30" s="263"/>
      <c r="AK30" s="217"/>
      <c r="AL30" s="305"/>
      <c r="AM30" s="305"/>
      <c r="AN30" s="305"/>
      <c r="AO30" s="305"/>
      <c r="AP30" s="305"/>
      <c r="AQ30" s="355">
        <v>0</v>
      </c>
    </row>
    <row r="31" spans="1:43" ht="14.25" hidden="1" customHeight="1">
      <c r="Q31" s="313"/>
      <c r="R31" s="313"/>
      <c r="S31" s="1194"/>
      <c r="T31" s="300"/>
      <c r="U31" s="300"/>
      <c r="V31" s="259"/>
      <c r="W31" s="259"/>
      <c r="X31" s="259"/>
      <c r="Y31" s="259"/>
      <c r="Z31" s="259"/>
      <c r="AA31" s="259"/>
      <c r="AB31" s="259"/>
      <c r="AC31" s="259"/>
      <c r="AD31" s="259"/>
      <c r="AE31" s="259"/>
      <c r="AF31" s="259"/>
      <c r="AG31" s="259"/>
      <c r="AH31" s="259"/>
      <c r="AI31" s="259"/>
      <c r="AJ31" s="446"/>
      <c r="AQ31" s="1074">
        <v>0</v>
      </c>
    </row>
    <row r="32" spans="1:43" s="2254" customFormat="1" ht="18.75" hidden="1" customHeight="1">
      <c r="A32" s="1287"/>
      <c r="B32" s="1287"/>
      <c r="C32" s="1287"/>
      <c r="D32" s="1287"/>
      <c r="E32" s="1287"/>
      <c r="F32" s="1287"/>
      <c r="G32" s="1287"/>
      <c r="H32" s="1287"/>
      <c r="I32" s="1287"/>
      <c r="J32" s="1287"/>
      <c r="K32" s="1287"/>
      <c r="L32" s="1288"/>
      <c r="M32" s="1287"/>
      <c r="N32" s="1287"/>
      <c r="O32" s="1287"/>
      <c r="S32" s="2475" t="s">
        <v>423</v>
      </c>
      <c r="T32" s="2475"/>
      <c r="U32" s="1291"/>
      <c r="V32" s="2485" t="str">
        <f>IF(TITLE_DATE_PR_CHANGE="",IF(TITLE_DATE_PR="","",TITLE_DATE_PR),TITLE_DATE_PR_CHANGE)</f>
        <v/>
      </c>
      <c r="W32" s="2485"/>
      <c r="X32" s="2485"/>
      <c r="Y32" s="2485"/>
      <c r="Z32" s="2485"/>
      <c r="AA32" s="2485"/>
      <c r="AB32" s="263"/>
      <c r="AC32" s="2485" t="str">
        <f>IF(TITLE_DATE_PR_CHANGE="",IF(TITLE_DATE_PR="","",TITLE_DATE_PR),TITLE_DATE_PR_CHANGE)</f>
        <v/>
      </c>
      <c r="AD32" s="2485"/>
      <c r="AE32" s="2485"/>
      <c r="AF32" s="2485"/>
      <c r="AG32" s="2485"/>
      <c r="AH32" s="2485"/>
      <c r="AI32" s="263"/>
      <c r="AJ32" s="263"/>
      <c r="AK32" s="217"/>
      <c r="AL32" s="305"/>
      <c r="AM32" s="305"/>
      <c r="AN32" s="305"/>
      <c r="AO32" s="305"/>
      <c r="AP32" s="305"/>
      <c r="AQ32" s="355">
        <v>0</v>
      </c>
    </row>
    <row r="33" spans="1:43" s="2254" customFormat="1" ht="18.75" hidden="1" customHeight="1">
      <c r="A33" s="1287"/>
      <c r="B33" s="1287"/>
      <c r="C33" s="1287"/>
      <c r="D33" s="1287"/>
      <c r="E33" s="1287"/>
      <c r="F33" s="1287"/>
      <c r="G33" s="1287"/>
      <c r="H33" s="1287"/>
      <c r="I33" s="1287"/>
      <c r="J33" s="1287"/>
      <c r="K33" s="1287"/>
      <c r="L33" s="1288"/>
      <c r="M33" s="1287"/>
      <c r="N33" s="1287"/>
      <c r="O33" s="1287"/>
      <c r="S33" s="2475" t="s">
        <v>424</v>
      </c>
      <c r="T33" s="2475"/>
      <c r="U33" s="1291"/>
      <c r="V33" s="2476" t="str">
        <f>IF(TITLE_NUMBER_PR_CHANGE="",IF(TITLE_NUMBER_PR="","",TITLE_NUMBER_PR),TITLE_NUMBER_PR_CHANGE)</f>
        <v/>
      </c>
      <c r="W33" s="2476"/>
      <c r="X33" s="2476"/>
      <c r="Y33" s="2476"/>
      <c r="Z33" s="2476"/>
      <c r="AA33" s="2476"/>
      <c r="AB33" s="263"/>
      <c r="AC33" s="2476" t="str">
        <f>IF(TITLE_NUMBER_PR_CHANGE="",IF(TITLE_NUMBER_PR="","",TITLE_NUMBER_PR),TITLE_NUMBER_PR_CHANGE)</f>
        <v/>
      </c>
      <c r="AD33" s="2476"/>
      <c r="AE33" s="2476"/>
      <c r="AF33" s="2476"/>
      <c r="AG33" s="2476"/>
      <c r="AH33" s="2476"/>
      <c r="AI33" s="263"/>
      <c r="AJ33" s="263"/>
      <c r="AK33" s="217"/>
      <c r="AL33" s="305"/>
      <c r="AM33" s="305"/>
      <c r="AN33" s="305"/>
      <c r="AO33" s="305"/>
      <c r="AP33" s="305"/>
      <c r="AQ33" s="355">
        <v>0</v>
      </c>
    </row>
    <row r="34" spans="1:43" s="2254"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194"/>
      <c r="T35" s="300"/>
      <c r="U35" s="1163"/>
      <c r="V35" s="2477"/>
      <c r="W35" s="2477"/>
      <c r="X35" s="2477"/>
      <c r="Y35" s="2477"/>
      <c r="Z35" s="2477"/>
      <c r="AA35" s="2477"/>
      <c r="AB35" s="2477"/>
      <c r="AC35" s="2477"/>
      <c r="AD35" s="2477"/>
      <c r="AE35" s="2477"/>
      <c r="AF35" s="2477"/>
      <c r="AG35" s="2477"/>
      <c r="AH35" s="2477"/>
      <c r="AI35" s="2477"/>
      <c r="AQ35" s="1074">
        <v>14</v>
      </c>
    </row>
    <row r="36" spans="1:43" ht="14.65" customHeight="1">
      <c r="Q36" s="313"/>
      <c r="R36" s="313"/>
      <c r="S36" s="2363" t="s">
        <v>298</v>
      </c>
      <c r="T36" s="2363"/>
      <c r="U36" s="2363"/>
      <c r="V36" s="2363"/>
      <c r="W36" s="2363"/>
      <c r="X36" s="2363"/>
      <c r="Y36" s="2363"/>
      <c r="Z36" s="2363"/>
      <c r="AA36" s="2363"/>
      <c r="AB36" s="2363"/>
      <c r="AC36" s="2363"/>
      <c r="AD36" s="2363"/>
      <c r="AE36" s="2363"/>
      <c r="AF36" s="2363"/>
      <c r="AG36" s="2363"/>
      <c r="AH36" s="2363"/>
      <c r="AI36" s="2363"/>
      <c r="AJ36" s="2363"/>
      <c r="AK36" s="2363" t="s">
        <v>299</v>
      </c>
      <c r="AQ36" s="1074">
        <v>14</v>
      </c>
    </row>
    <row r="37" spans="1:43" ht="14.65" customHeight="1">
      <c r="Q37" s="313"/>
      <c r="R37" s="313"/>
      <c r="S37" s="2491" t="s">
        <v>87</v>
      </c>
      <c r="T37" s="2442" t="s">
        <v>426</v>
      </c>
      <c r="U37" s="238"/>
      <c r="V37" s="2492" t="s">
        <v>427</v>
      </c>
      <c r="W37" s="2493"/>
      <c r="X37" s="2493"/>
      <c r="Y37" s="2493"/>
      <c r="Z37" s="2493"/>
      <c r="AA37" s="2494"/>
      <c r="AB37" s="2495" t="s">
        <v>428</v>
      </c>
      <c r="AC37" s="2492" t="s">
        <v>427</v>
      </c>
      <c r="AD37" s="2493"/>
      <c r="AE37" s="2493"/>
      <c r="AF37" s="2493"/>
      <c r="AG37" s="2493"/>
      <c r="AH37" s="2494"/>
      <c r="AI37" s="2495" t="s">
        <v>429</v>
      </c>
      <c r="AJ37" s="2498" t="s">
        <v>430</v>
      </c>
      <c r="AK37" s="2363"/>
      <c r="AQ37" s="1074">
        <v>14</v>
      </c>
    </row>
    <row r="38" spans="1:43" ht="35.65" customHeight="1">
      <c r="Q38" s="313"/>
      <c r="R38" s="313"/>
      <c r="S38" s="2491"/>
      <c r="T38" s="2442"/>
      <c r="U38" s="955"/>
      <c r="V38" s="1371" t="s">
        <v>487</v>
      </c>
      <c r="W38" s="2335" t="s">
        <v>433</v>
      </c>
      <c r="X38" s="2334"/>
      <c r="Y38" s="2335" t="s">
        <v>434</v>
      </c>
      <c r="Z38" s="2340"/>
      <c r="AA38" s="2334"/>
      <c r="AB38" s="2496"/>
      <c r="AC38" s="1371" t="s">
        <v>487</v>
      </c>
      <c r="AD38" s="2335" t="s">
        <v>433</v>
      </c>
      <c r="AE38" s="2334"/>
      <c r="AF38" s="2335" t="s">
        <v>434</v>
      </c>
      <c r="AG38" s="2340"/>
      <c r="AH38" s="2334"/>
      <c r="AI38" s="2496"/>
      <c r="AJ38" s="2499"/>
      <c r="AK38" s="2363"/>
      <c r="AQ38" s="1074">
        <v>34</v>
      </c>
    </row>
    <row r="39" spans="1:43" ht="35.65" customHeight="1">
      <c r="A39" s="1289"/>
      <c r="B39" s="1289" t="s">
        <v>135</v>
      </c>
      <c r="C39" s="1289" t="s">
        <v>136</v>
      </c>
      <c r="D39" s="1289" t="s">
        <v>137</v>
      </c>
      <c r="E39" s="1283" t="s">
        <v>435</v>
      </c>
      <c r="F39" s="1283" t="s">
        <v>436</v>
      </c>
      <c r="G39" s="1283" t="s">
        <v>437</v>
      </c>
      <c r="H39" s="1283"/>
      <c r="I39" s="1283" t="s">
        <v>488</v>
      </c>
      <c r="J39" s="1283" t="s">
        <v>440</v>
      </c>
      <c r="K39" s="1283" t="s">
        <v>489</v>
      </c>
      <c r="L39" s="1283" t="s">
        <v>416</v>
      </c>
      <c r="Q39" s="313"/>
      <c r="R39" s="313"/>
      <c r="S39" s="2491"/>
      <c r="T39" s="2442"/>
      <c r="U39" s="239"/>
      <c r="V39" s="1371" t="s">
        <v>490</v>
      </c>
      <c r="W39" s="1141" t="s">
        <v>491</v>
      </c>
      <c r="X39" s="1141" t="s">
        <v>492</v>
      </c>
      <c r="Y39" s="1374" t="s">
        <v>444</v>
      </c>
      <c r="Z39" s="2451" t="s">
        <v>445</v>
      </c>
      <c r="AA39" s="2453"/>
      <c r="AB39" s="2497"/>
      <c r="AC39" s="1371" t="s">
        <v>490</v>
      </c>
      <c r="AD39" s="1141" t="s">
        <v>491</v>
      </c>
      <c r="AE39" s="1141" t="s">
        <v>492</v>
      </c>
      <c r="AF39" s="1374" t="s">
        <v>444</v>
      </c>
      <c r="AG39" s="2451" t="s">
        <v>445</v>
      </c>
      <c r="AH39" s="2453"/>
      <c r="AI39" s="2497"/>
      <c r="AJ39" s="2500"/>
      <c r="AK39" s="2363"/>
      <c r="AQ39" s="1074">
        <v>34</v>
      </c>
    </row>
    <row r="40" spans="1:43" s="2269"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108</v>
      </c>
      <c r="T40" s="1174" t="s">
        <v>109</v>
      </c>
      <c r="U40" s="1164" t="str">
        <f ca="1">OFFSET(U40,0,-1)</f>
        <v>2</v>
      </c>
      <c r="V40" s="1370">
        <f ca="1">OFFSET(V40,0,-1)+1</f>
        <v>3</v>
      </c>
      <c r="W40" s="1370">
        <f ca="1">OFFSET(W40,0,-1)+1</f>
        <v>4</v>
      </c>
      <c r="X40" s="1370">
        <f ca="1">OFFSET(X40,0,-1)+1</f>
        <v>5</v>
      </c>
      <c r="Y40" s="1370">
        <f ca="1">OFFSET(Y40,0,-1)+1</f>
        <v>6</v>
      </c>
      <c r="Z40" s="2490">
        <f ca="1">OFFSET(Z40,0,-1)+1</f>
        <v>7</v>
      </c>
      <c r="AA40" s="2490"/>
      <c r="AB40" s="1370">
        <f ca="1">OFFSET(AB40,0,-2)+1</f>
        <v>8</v>
      </c>
      <c r="AC40" s="1370">
        <f ca="1">OFFSET(AC40,0,-1)+1</f>
        <v>9</v>
      </c>
      <c r="AD40" s="1370">
        <f ca="1">OFFSET(AD40,0,-1)+1</f>
        <v>10</v>
      </c>
      <c r="AE40" s="1370">
        <f ca="1">OFFSET(AE40,0,-1)+1</f>
        <v>11</v>
      </c>
      <c r="AF40" s="1370">
        <f ca="1">OFFSET(AF40,0,-1)+1</f>
        <v>12</v>
      </c>
      <c r="AG40" s="2490">
        <f ca="1">OFFSET(AG40,0,-1)+1</f>
        <v>13</v>
      </c>
      <c r="AH40" s="2490"/>
      <c r="AI40" s="1370">
        <f ca="1">OFFSET(AI40,0,-2)+1</f>
        <v>14</v>
      </c>
      <c r="AJ40" s="1164">
        <f ca="1">OFFSET(AJ40,0,-1)</f>
        <v>14</v>
      </c>
      <c r="AK40" s="1370">
        <f ca="1">OFFSET(AK40,0,-1)+1</f>
        <v>15</v>
      </c>
      <c r="AL40" s="448"/>
      <c r="AM40" s="448"/>
      <c r="AN40" s="448"/>
      <c r="AO40" s="448"/>
      <c r="AP40" s="448"/>
      <c r="AQ40" s="433">
        <v>0</v>
      </c>
    </row>
    <row r="41" spans="1:43" ht="24" customHeight="1">
      <c r="A41" s="1282" t="s">
        <v>229</v>
      </c>
      <c r="B41" s="1282"/>
      <c r="C41" s="1282"/>
      <c r="D41" s="1282"/>
      <c r="E41" s="2483">
        <v>1</v>
      </c>
      <c r="F41" s="1282"/>
      <c r="G41" s="1282"/>
      <c r="H41" s="1282"/>
      <c r="I41" s="1282"/>
      <c r="J41" s="1282"/>
      <c r="K41" s="1282"/>
      <c r="L41" s="1283"/>
      <c r="M41" s="1284"/>
      <c r="N41" s="1284"/>
      <c r="O41" s="1284"/>
      <c r="P41" s="298"/>
      <c r="Q41" s="297"/>
      <c r="R41" s="292"/>
      <c r="S41" s="1376">
        <f>INDEX(PT_DIFFERENTIATION_NUM_NTAR,MATCH(A41,PT_DIFFERENTIATION_NTAR_ID,0))</f>
        <v>0</v>
      </c>
      <c r="T41" s="235" t="s">
        <v>123</v>
      </c>
      <c r="U41" s="237"/>
      <c r="V41" s="2469"/>
      <c r="W41" s="2470"/>
      <c r="X41" s="2470"/>
      <c r="Y41" s="2470"/>
      <c r="Z41" s="2470"/>
      <c r="AA41" s="2470"/>
      <c r="AB41" s="2471"/>
      <c r="AC41" s="2469" t="str">
        <f>INDEX(PT_DIFFERENTIATION_NTAR,MATCH(A41,PT_DIFFERENTIATION_NTAR_ID,0))</f>
        <v/>
      </c>
      <c r="AD41" s="2470"/>
      <c r="AE41" s="2470"/>
      <c r="AF41" s="2470"/>
      <c r="AG41" s="2470"/>
      <c r="AH41" s="2470"/>
      <c r="AI41" s="2470"/>
      <c r="AJ41" s="2471"/>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4">
        <v>23</v>
      </c>
    </row>
    <row r="42" spans="1:43" ht="24" customHeight="1">
      <c r="A42" s="1282" t="s">
        <v>229</v>
      </c>
      <c r="B42" s="1282" t="s">
        <v>230</v>
      </c>
      <c r="C42" s="1282"/>
      <c r="D42" s="1282"/>
      <c r="E42" s="2484"/>
      <c r="F42" s="2483">
        <v>1</v>
      </c>
      <c r="G42" s="1282"/>
      <c r="H42" s="1282"/>
      <c r="I42" s="1282"/>
      <c r="J42" s="1282"/>
      <c r="K42" s="1282"/>
      <c r="L42" s="1283"/>
      <c r="M42" s="1284"/>
      <c r="N42" s="1284"/>
      <c r="O42" s="1284"/>
      <c r="P42" s="1372"/>
      <c r="Q42" s="289"/>
      <c r="R42" s="290"/>
      <c r="S42" s="1376" t="str">
        <f>INDEX(PT_DIFFERENTIATION_NUM_TER,MATCH(B42,PT_DIFFERENTIATION_TER_ID,0))</f>
        <v>.</v>
      </c>
      <c r="T42" s="245" t="s">
        <v>395</v>
      </c>
      <c r="U42" s="237"/>
      <c r="V42" s="2469"/>
      <c r="W42" s="2470"/>
      <c r="X42" s="2470"/>
      <c r="Y42" s="2470"/>
      <c r="Z42" s="2470"/>
      <c r="AA42" s="2470"/>
      <c r="AB42" s="2471"/>
      <c r="AC42" s="2469" t="str">
        <f>INDEX(PT_DIFFERENTIATION_TER,MATCH(B42,PT_DIFFERENTIATION_TER_ID,0))</f>
        <v/>
      </c>
      <c r="AD42" s="2470"/>
      <c r="AE42" s="2470"/>
      <c r="AF42" s="2470"/>
      <c r="AG42" s="2470"/>
      <c r="AH42" s="2470"/>
      <c r="AI42" s="2470"/>
      <c r="AJ42" s="2471"/>
      <c r="AK42" s="1177" t="s">
        <v>396</v>
      </c>
      <c r="AM42" s="437"/>
      <c r="AN42" s="437" t="str">
        <f t="shared" si="1"/>
        <v>Территория действия тарифа</v>
      </c>
      <c r="AO42" s="437"/>
      <c r="AP42" s="437"/>
      <c r="AQ42" s="1074">
        <v>23</v>
      </c>
    </row>
    <row r="43" spans="1:43" ht="24" customHeight="1">
      <c r="A43" s="1282" t="s">
        <v>229</v>
      </c>
      <c r="B43" s="1282" t="s">
        <v>230</v>
      </c>
      <c r="C43" s="1282" t="s">
        <v>231</v>
      </c>
      <c r="D43" s="1282"/>
      <c r="E43" s="2484"/>
      <c r="F43" s="2484"/>
      <c r="G43" s="2483">
        <v>1</v>
      </c>
      <c r="H43" s="1282"/>
      <c r="I43" s="1282"/>
      <c r="J43" s="1282"/>
      <c r="K43" s="1282"/>
      <c r="L43" s="1283"/>
      <c r="M43" s="1284"/>
      <c r="N43" s="1284"/>
      <c r="O43" s="1284"/>
      <c r="P43" s="291"/>
      <c r="Q43" s="289"/>
      <c r="R43" s="290"/>
      <c r="S43" s="1376" t="str">
        <f>INDEX(PT_DIFFERENTIATION_NUM_CS,MATCH(C43,PT_DIFFERENTIATION_CS_ID,0))</f>
        <v>..</v>
      </c>
      <c r="T43" s="246" t="s">
        <v>479</v>
      </c>
      <c r="U43" s="237"/>
      <c r="V43" s="2469"/>
      <c r="W43" s="2470"/>
      <c r="X43" s="2470"/>
      <c r="Y43" s="2470"/>
      <c r="Z43" s="2470"/>
      <c r="AA43" s="2470"/>
      <c r="AB43" s="2471"/>
      <c r="AC43" s="2469" t="str">
        <f>INDEX(PT_DIFFERENTIATION_CS,MATCH(C43,PT_DIFFERENTIATION_CS_ID,0))</f>
        <v/>
      </c>
      <c r="AD43" s="2470"/>
      <c r="AE43" s="2470"/>
      <c r="AF43" s="2470"/>
      <c r="AG43" s="2470"/>
      <c r="AH43" s="2470"/>
      <c r="AI43" s="2470"/>
      <c r="AJ43" s="2471"/>
      <c r="AK43" s="1177" t="s">
        <v>480</v>
      </c>
      <c r="AM43" s="437"/>
      <c r="AN43" s="437" t="str">
        <f t="shared" si="1"/>
        <v>Наименование централизованной системы холодного водоснабжения</v>
      </c>
      <c r="AO43" s="437"/>
      <c r="AP43" s="437"/>
      <c r="AQ43" s="1074">
        <v>23</v>
      </c>
    </row>
    <row r="44" spans="1:43" ht="24" customHeight="1">
      <c r="A44" s="1282" t="s">
        <v>229</v>
      </c>
      <c r="B44" s="1282" t="s">
        <v>230</v>
      </c>
      <c r="C44" s="1282" t="s">
        <v>231</v>
      </c>
      <c r="D44" s="1282" t="s">
        <v>494</v>
      </c>
      <c r="E44" s="2484"/>
      <c r="F44" s="2484"/>
      <c r="G44" s="2484"/>
      <c r="H44" s="2484"/>
      <c r="I44" s="2481" t="str">
        <f>S43&amp;".1"</f>
        <v>...1</v>
      </c>
      <c r="J44" s="1282"/>
      <c r="K44" s="1282"/>
      <c r="L44" s="1283"/>
      <c r="P44" s="2482">
        <v>1</v>
      </c>
      <c r="Q44" s="1369"/>
      <c r="R44" s="293"/>
      <c r="S44" s="1376" t="str">
        <f>$I44</f>
        <v>...1</v>
      </c>
      <c r="T44" s="222" t="s">
        <v>481</v>
      </c>
      <c r="U44" s="237"/>
      <c r="V44" s="2550"/>
      <c r="W44" s="2551"/>
      <c r="X44" s="2551"/>
      <c r="Y44" s="2551"/>
      <c r="Z44" s="2551"/>
      <c r="AA44" s="2551"/>
      <c r="AB44" s="2552"/>
      <c r="AC44" s="2553"/>
      <c r="AD44" s="2554"/>
      <c r="AE44" s="2554"/>
      <c r="AF44" s="2554"/>
      <c r="AG44" s="2554"/>
      <c r="AH44" s="2554"/>
      <c r="AI44" s="2554"/>
      <c r="AJ44" s="2555"/>
      <c r="AK44" s="1177" t="s">
        <v>482</v>
      </c>
      <c r="AM44" s="437"/>
      <c r="AN44" s="437" t="str">
        <f t="shared" si="1"/>
        <v>Наименование признака дифференциации</v>
      </c>
      <c r="AO44" s="437"/>
      <c r="AP44" s="437"/>
      <c r="AQ44" s="1074">
        <v>23</v>
      </c>
    </row>
    <row r="45" spans="1:43" ht="24" customHeight="1">
      <c r="A45" s="1282" t="s">
        <v>229</v>
      </c>
      <c r="B45" s="1282" t="s">
        <v>230</v>
      </c>
      <c r="C45" s="1282" t="s">
        <v>231</v>
      </c>
      <c r="D45" s="1282" t="s">
        <v>494</v>
      </c>
      <c r="E45" s="2484"/>
      <c r="F45" s="2484"/>
      <c r="G45" s="2484"/>
      <c r="H45" s="2484"/>
      <c r="I45" s="2504"/>
      <c r="J45" s="2481" t="str">
        <f>I44&amp;".1"</f>
        <v>...1.1</v>
      </c>
      <c r="K45" s="1282"/>
      <c r="L45" s="1283" t="s">
        <v>404</v>
      </c>
      <c r="P45" s="2482"/>
      <c r="Q45" s="2482">
        <v>1</v>
      </c>
      <c r="R45" s="294"/>
      <c r="S45" s="1376" t="str">
        <f>$J45</f>
        <v>...1.1</v>
      </c>
      <c r="T45" s="223" t="s">
        <v>405</v>
      </c>
      <c r="U45" s="237"/>
      <c r="V45" s="2472"/>
      <c r="W45" s="2473"/>
      <c r="X45" s="2473"/>
      <c r="Y45" s="2473"/>
      <c r="Z45" s="2473"/>
      <c r="AA45" s="2473"/>
      <c r="AB45" s="2474"/>
      <c r="AC45" s="2472"/>
      <c r="AD45" s="2473"/>
      <c r="AE45" s="2473"/>
      <c r="AF45" s="2473"/>
      <c r="AG45" s="2473"/>
      <c r="AH45" s="2473"/>
      <c r="AI45" s="2473"/>
      <c r="AJ45" s="2474"/>
      <c r="AK45" s="1226" t="s">
        <v>483</v>
      </c>
      <c r="AM45" s="437"/>
      <c r="AN45" s="437" t="str">
        <f t="shared" si="1"/>
        <v>Группа потребителей</v>
      </c>
      <c r="AO45" s="437"/>
      <c r="AP45" s="437"/>
      <c r="AQ45" s="1074">
        <v>23</v>
      </c>
    </row>
    <row r="46" spans="1:43" ht="24" customHeight="1">
      <c r="A46" s="1282" t="s">
        <v>229</v>
      </c>
      <c r="B46" s="1282" t="s">
        <v>230</v>
      </c>
      <c r="C46" s="1282" t="s">
        <v>231</v>
      </c>
      <c r="D46" s="1282" t="s">
        <v>494</v>
      </c>
      <c r="E46" s="2484"/>
      <c r="F46" s="2484"/>
      <c r="G46" s="2484"/>
      <c r="H46" s="2484"/>
      <c r="I46" s="2504"/>
      <c r="J46" s="2504"/>
      <c r="K46" s="2481" t="str">
        <f>J45&amp;".1"</f>
        <v>...1.1.1</v>
      </c>
      <c r="L46" s="1283"/>
      <c r="P46" s="2482"/>
      <c r="Q46" s="2482"/>
      <c r="R46" s="294">
        <v>1</v>
      </c>
      <c r="S46" s="1376" t="str">
        <f>$K46</f>
        <v>...1.1.1</v>
      </c>
      <c r="T46" s="1356"/>
      <c r="U46" s="237"/>
      <c r="V46" s="688"/>
      <c r="W46" s="688"/>
      <c r="X46" s="1176"/>
      <c r="Y46" s="2486"/>
      <c r="Z46" s="2344" t="s">
        <v>64</v>
      </c>
      <c r="AA46" s="2486"/>
      <c r="AB46" s="2344" t="s">
        <v>64</v>
      </c>
      <c r="AC46" s="688"/>
      <c r="AD46" s="688"/>
      <c r="AE46" s="1176"/>
      <c r="AF46" s="2486"/>
      <c r="AG46" s="2344" t="s">
        <v>64</v>
      </c>
      <c r="AH46" s="2505"/>
      <c r="AI46" s="2344" t="s">
        <v>64</v>
      </c>
      <c r="AJ46" s="1357"/>
      <c r="AK46" s="25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4">
        <v>23</v>
      </c>
    </row>
    <row r="47" spans="1:43" ht="0" hidden="1" customHeight="1">
      <c r="A47" s="1282" t="s">
        <v>229</v>
      </c>
      <c r="B47" s="1282" t="s">
        <v>230</v>
      </c>
      <c r="C47" s="1282" t="s">
        <v>231</v>
      </c>
      <c r="D47" s="1282" t="s">
        <v>494</v>
      </c>
      <c r="E47" s="2484"/>
      <c r="F47" s="2484"/>
      <c r="G47" s="2484"/>
      <c r="H47" s="2484"/>
      <c r="I47" s="2504"/>
      <c r="J47" s="2504"/>
      <c r="K47" s="2481"/>
      <c r="L47" s="1283"/>
      <c r="P47" s="2482"/>
      <c r="Q47" s="2482"/>
      <c r="R47" s="294"/>
      <c r="S47" s="1375"/>
      <c r="T47" s="237"/>
      <c r="U47" s="237"/>
      <c r="V47" s="262"/>
      <c r="W47" s="262"/>
      <c r="X47" s="265" t="str">
        <f>Y46&amp;"-"&amp;AA46</f>
        <v>-</v>
      </c>
      <c r="Y47" s="2487"/>
      <c r="Z47" s="2344"/>
      <c r="AA47" s="2487"/>
      <c r="AB47" s="2344"/>
      <c r="AC47" s="262"/>
      <c r="AD47" s="262"/>
      <c r="AE47" s="265" t="str">
        <f>AF46&amp;"-"&amp;AH46</f>
        <v>-</v>
      </c>
      <c r="AF47" s="2487"/>
      <c r="AG47" s="2344"/>
      <c r="AH47" s="2506"/>
      <c r="AI47" s="2344"/>
      <c r="AJ47" s="1358"/>
      <c r="AK47" s="2549"/>
      <c r="AM47" s="437"/>
      <c r="AN47" s="437" t="str">
        <f t="shared" si="1"/>
        <v/>
      </c>
      <c r="AO47" s="437"/>
      <c r="AP47" s="437"/>
      <c r="AQ47" s="1074">
        <v>0</v>
      </c>
    </row>
    <row r="48" spans="1:43" ht="21" customHeight="1">
      <c r="A48" s="1282" t="s">
        <v>229</v>
      </c>
      <c r="B48" s="1282" t="s">
        <v>230</v>
      </c>
      <c r="C48" s="1282" t="s">
        <v>231</v>
      </c>
      <c r="D48" s="1282" t="s">
        <v>494</v>
      </c>
      <c r="E48" s="2484"/>
      <c r="F48" s="2484"/>
      <c r="G48" s="2484"/>
      <c r="H48" s="2484"/>
      <c r="I48" s="2504"/>
      <c r="J48" s="2481"/>
      <c r="K48" s="1282"/>
      <c r="L48" s="1283"/>
      <c r="P48" s="2482"/>
      <c r="Q48" s="2482"/>
      <c r="R48" s="293"/>
      <c r="S48" s="1197"/>
      <c r="T48" s="224" t="s">
        <v>484</v>
      </c>
      <c r="U48" s="304"/>
      <c r="V48" s="304"/>
      <c r="W48" s="304"/>
      <c r="X48" s="304"/>
      <c r="Y48" s="304"/>
      <c r="Z48" s="304"/>
      <c r="AA48" s="304"/>
      <c r="AB48" s="304"/>
      <c r="AC48" s="304"/>
      <c r="AD48" s="304"/>
      <c r="AE48" s="304"/>
      <c r="AF48" s="304"/>
      <c r="AG48" s="304"/>
      <c r="AH48" s="304"/>
      <c r="AI48" s="304"/>
      <c r="AJ48" s="304"/>
      <c r="AK48" s="1177" t="s">
        <v>485</v>
      </c>
      <c r="AM48" s="437"/>
      <c r="AN48" s="437" t="str">
        <f t="shared" si="1"/>
        <v>Добавить значение признака дифференциации</v>
      </c>
      <c r="AO48" s="437"/>
      <c r="AP48" s="437"/>
      <c r="AQ48" s="1074">
        <v>20</v>
      </c>
    </row>
    <row r="49" spans="1:43" ht="21.95" customHeight="1">
      <c r="A49" s="1282" t="s">
        <v>229</v>
      </c>
      <c r="B49" s="1282" t="s">
        <v>230</v>
      </c>
      <c r="C49" s="1282" t="s">
        <v>231</v>
      </c>
      <c r="D49" s="1282" t="s">
        <v>494</v>
      </c>
      <c r="E49" s="2484"/>
      <c r="F49" s="2484"/>
      <c r="G49" s="2484"/>
      <c r="H49" s="2484"/>
      <c r="I49" s="2481"/>
      <c r="J49" s="1282"/>
      <c r="K49" s="1282"/>
      <c r="L49" s="1283"/>
      <c r="P49" s="2482"/>
      <c r="Q49" s="1369"/>
      <c r="R49" s="293"/>
      <c r="S49" s="1197"/>
      <c r="T49" s="302" t="s">
        <v>410</v>
      </c>
      <c r="U49" s="304"/>
      <c r="V49" s="304"/>
      <c r="W49" s="304"/>
      <c r="X49" s="304"/>
      <c r="Y49" s="304"/>
      <c r="Z49" s="304"/>
      <c r="AA49" s="304"/>
      <c r="AB49" s="303"/>
      <c r="AC49" s="304"/>
      <c r="AD49" s="304"/>
      <c r="AE49" s="304"/>
      <c r="AF49" s="304"/>
      <c r="AG49" s="304"/>
      <c r="AH49" s="304"/>
      <c r="AI49" s="303"/>
      <c r="AJ49" s="304"/>
      <c r="AK49" s="1359"/>
      <c r="AM49" s="437"/>
      <c r="AN49" s="437" t="str">
        <f t="shared" si="1"/>
        <v>Добавить группу потребителей</v>
      </c>
      <c r="AO49" s="437"/>
      <c r="AP49" s="437"/>
      <c r="AQ49" s="1074">
        <v>21</v>
      </c>
    </row>
    <row r="50" spans="1:43" ht="21.95" customHeight="1">
      <c r="A50" s="1282" t="s">
        <v>229</v>
      </c>
      <c r="B50" s="1282" t="s">
        <v>230</v>
      </c>
      <c r="C50" s="1282" t="s">
        <v>231</v>
      </c>
      <c r="D50" s="1282" t="s">
        <v>494</v>
      </c>
      <c r="E50" s="2484"/>
      <c r="F50" s="2484"/>
      <c r="G50" s="2484"/>
      <c r="H50" s="2483"/>
      <c r="I50" s="1282"/>
      <c r="J50" s="1282"/>
      <c r="K50" s="1282"/>
      <c r="L50" s="1283"/>
      <c r="M50" s="1284"/>
      <c r="N50" s="1284"/>
      <c r="O50" s="474"/>
      <c r="P50" s="297"/>
      <c r="Q50" s="312"/>
      <c r="R50" s="292"/>
      <c r="S50" s="1197"/>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74">
        <v>21</v>
      </c>
    </row>
    <row r="51" spans="1:43" s="2245" customFormat="1" ht="0" hidden="1" customHeight="1">
      <c r="A51" s="1262" t="s">
        <v>229</v>
      </c>
      <c r="B51" s="1262" t="s">
        <v>230</v>
      </c>
      <c r="C51" s="1233"/>
      <c r="D51" s="1233"/>
      <c r="E51" s="2484"/>
      <c r="F51" s="2483"/>
      <c r="G51" s="1233"/>
      <c r="H51" s="1233"/>
      <c r="I51" s="1233"/>
      <c r="J51" s="1233"/>
      <c r="K51" s="1233"/>
      <c r="L51" s="1377"/>
      <c r="M51" s="1240"/>
      <c r="N51" s="1240"/>
      <c r="P51" s="1235"/>
      <c r="Q51" s="1236"/>
      <c r="R51" s="1235"/>
      <c r="S51" s="1241"/>
      <c r="T51" s="1244" t="s">
        <v>413</v>
      </c>
      <c r="U51" s="1243"/>
      <c r="V51" s="1243"/>
      <c r="W51" s="1243"/>
      <c r="X51" s="1243"/>
      <c r="Y51" s="1243"/>
      <c r="Z51" s="1243"/>
      <c r="AA51" s="1243"/>
      <c r="AB51" s="1243"/>
      <c r="AC51" s="1243"/>
      <c r="AD51" s="1243"/>
      <c r="AE51" s="1243"/>
      <c r="AF51" s="1243"/>
      <c r="AG51" s="1243"/>
      <c r="AH51" s="1243"/>
      <c r="AI51" s="1243"/>
      <c r="AJ51" s="1243"/>
      <c r="AK51" s="1243"/>
      <c r="AM51" s="720"/>
      <c r="AN51" s="720" t="str">
        <f t="shared" si="1"/>
        <v>Добавить централизованную систему для дифференциации</v>
      </c>
      <c r="AO51" s="720"/>
      <c r="AP51" s="720"/>
      <c r="AQ51" s="455">
        <v>0</v>
      </c>
    </row>
    <row r="52" spans="1:43" s="2245" customFormat="1" ht="0" hidden="1" customHeight="1">
      <c r="A52" s="1262" t="s">
        <v>229</v>
      </c>
      <c r="B52" s="1262"/>
      <c r="C52" s="1262"/>
      <c r="D52" s="1262"/>
      <c r="E52" s="2483"/>
      <c r="F52" s="1262"/>
      <c r="G52" s="1262"/>
      <c r="H52" s="1262"/>
      <c r="I52" s="1262"/>
      <c r="J52" s="1262"/>
      <c r="K52" s="1262"/>
      <c r="L52" s="1265"/>
      <c r="M52" s="1240"/>
      <c r="N52" s="1240"/>
      <c r="O52" s="455"/>
      <c r="P52" s="317"/>
      <c r="Q52" s="1263"/>
      <c r="R52" s="317"/>
      <c r="S52" s="1241"/>
      <c r="T52" s="1244" t="s">
        <v>414</v>
      </c>
      <c r="U52" s="1243"/>
      <c r="V52" s="1243"/>
      <c r="W52" s="1243"/>
      <c r="X52" s="1243"/>
      <c r="Y52" s="1243"/>
      <c r="Z52" s="1243"/>
      <c r="AA52" s="1243"/>
      <c r="AB52" s="1243"/>
      <c r="AC52" s="1243"/>
      <c r="AD52" s="1243"/>
      <c r="AE52" s="1243"/>
      <c r="AF52" s="1243"/>
      <c r="AG52" s="1243"/>
      <c r="AH52" s="1243"/>
      <c r="AI52" s="1243"/>
      <c r="AJ52" s="1243"/>
      <c r="AK52" s="1243"/>
      <c r="AM52" s="437"/>
      <c r="AN52" s="437" t="str">
        <f t="shared" si="1"/>
        <v>Добавить территорию для дифференциации</v>
      </c>
      <c r="AO52" s="437"/>
      <c r="AP52" s="437"/>
      <c r="AQ52" s="448">
        <v>0</v>
      </c>
    </row>
    <row r="53" spans="1:43" s="2245"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446</v>
      </c>
      <c r="U53" s="1243"/>
      <c r="V53" s="1243"/>
      <c r="W53" s="1243"/>
      <c r="X53" s="1243"/>
      <c r="Y53" s="1243"/>
      <c r="Z53" s="1243"/>
      <c r="AA53" s="1243"/>
      <c r="AB53" s="1243"/>
      <c r="AC53" s="1243"/>
      <c r="AD53" s="1243"/>
      <c r="AE53" s="1243"/>
      <c r="AF53" s="1243"/>
      <c r="AG53" s="1243"/>
      <c r="AH53" s="1243"/>
      <c r="AI53" s="1243"/>
      <c r="AJ53" s="1243"/>
      <c r="AK53" s="1243"/>
      <c r="AM53" s="720"/>
      <c r="AN53" s="720" t="str">
        <f t="shared" si="1"/>
        <v>Добавить наименование тарифа</v>
      </c>
      <c r="AO53" s="720"/>
      <c r="AP53" s="720"/>
      <c r="AQ53" s="455">
        <v>0</v>
      </c>
    </row>
    <row r="54" spans="1:43" ht="11.45" customHeight="1">
      <c r="M54" s="1079"/>
      <c r="N54" s="1079"/>
      <c r="O54" s="474"/>
      <c r="P54" s="1074"/>
      <c r="Q54" s="1074"/>
      <c r="R54" s="1074"/>
      <c r="S54" s="1074"/>
      <c r="AL54" s="1074"/>
      <c r="AM54" s="1074"/>
      <c r="AN54" s="1074"/>
      <c r="AO54" s="1074"/>
      <c r="AP54" s="1074"/>
      <c r="AQ54" s="1074">
        <v>11</v>
      </c>
    </row>
    <row r="55" spans="1:43" ht="14.65" customHeight="1">
      <c r="O55" s="474"/>
      <c r="S55" s="1172"/>
      <c r="T55" s="2503"/>
      <c r="U55" s="2503"/>
      <c r="V55" s="2503"/>
      <c r="W55" s="2503"/>
      <c r="X55" s="2503"/>
      <c r="Y55" s="2503"/>
      <c r="Z55" s="2503"/>
      <c r="AA55" s="2503"/>
      <c r="AB55" s="2503"/>
      <c r="AC55" s="2503"/>
      <c r="AD55" s="2503"/>
      <c r="AE55" s="2503"/>
      <c r="AF55" s="2503"/>
      <c r="AG55" s="2503"/>
      <c r="AH55" s="2503"/>
      <c r="AI55" s="2503"/>
      <c r="AJ55" s="2503"/>
      <c r="AK55" s="2503"/>
      <c r="AQ55" s="1074">
        <v>14</v>
      </c>
    </row>
    <row r="56" spans="1:43" ht="14.65" customHeight="1">
      <c r="O56" s="474"/>
      <c r="AQ56" s="1074">
        <v>14</v>
      </c>
    </row>
    <row r="57" spans="1:43" ht="14.65" customHeight="1">
      <c r="O57" s="474"/>
      <c r="S57" s="1172"/>
      <c r="T57" s="2503"/>
      <c r="U57" s="2503"/>
      <c r="V57" s="2503"/>
      <c r="W57" s="2503"/>
      <c r="X57" s="2503"/>
      <c r="Y57" s="2503"/>
      <c r="Z57" s="2503"/>
      <c r="AA57" s="2503"/>
      <c r="AB57" s="2503"/>
      <c r="AC57" s="2503"/>
      <c r="AD57" s="2503"/>
      <c r="AE57" s="2503"/>
      <c r="AF57" s="2503"/>
      <c r="AG57" s="2503"/>
      <c r="AH57" s="2503"/>
      <c r="AI57" s="2503"/>
      <c r="AJ57" s="2503"/>
      <c r="AK57" s="2503"/>
      <c r="AQ57" s="1074">
        <v>14</v>
      </c>
    </row>
    <row r="58" spans="1:43" ht="22.5" hidden="1" customHeight="1">
      <c r="A58" s="1079" t="s">
        <v>81</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8">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8">
        <v>10</v>
      </c>
      <c r="AM58" s="448">
        <v>10</v>
      </c>
      <c r="AN58" s="448">
        <v>10</v>
      </c>
      <c r="AO58" s="448">
        <v>10</v>
      </c>
      <c r="AP58" s="448">
        <v>10</v>
      </c>
      <c r="AQ58" s="1074">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44" hidden="1"/>
    <col min="2" max="2" width="11" style="2244" hidden="1" customWidth="1"/>
    <col min="3" max="3" width="10.5703125" style="2244" hidden="1"/>
    <col min="4" max="4" width="11.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4.140625" style="2244" hidden="1" customWidth="1"/>
    <col min="10" max="10" width="9.85546875" style="2244" hidden="1" customWidth="1"/>
    <col min="11" max="11" width="14.7109375" style="2244" hidden="1" customWidth="1"/>
    <col min="12" max="12" width="19.140625" style="2270" hidden="1" customWidth="1"/>
    <col min="13" max="14" width="12.28515625" style="2271" hidden="1" customWidth="1"/>
    <col min="15" max="15" width="23.42578125" style="2271" hidden="1" customWidth="1"/>
    <col min="16" max="16" width="3" style="2272" customWidth="1"/>
    <col min="17" max="18" width="3" style="2273" customWidth="1"/>
    <col min="19" max="19" width="12" style="2274" customWidth="1"/>
    <col min="20" max="20" width="35" style="2238" customWidth="1"/>
    <col min="21" max="21" width="0.140625" style="2238" customWidth="1"/>
    <col min="22" max="24" width="24.7109375" style="2238" hidden="1" customWidth="1"/>
    <col min="25" max="25" width="11.7109375" style="2238" hidden="1" customWidth="1"/>
    <col min="26" max="26" width="3.7109375" style="2238" hidden="1" customWidth="1"/>
    <col min="27" max="27" width="11.7109375" style="2238" hidden="1" customWidth="1"/>
    <col min="28" max="28" width="8.5703125" style="2238" hidden="1" customWidth="1"/>
    <col min="29" max="29" width="24.7109375" style="2238" customWidth="1"/>
    <col min="30" max="31" width="24" style="2238" customWidth="1"/>
    <col min="32" max="32" width="11" style="2238" customWidth="1"/>
    <col min="33" max="33" width="3.7109375" style="2238" customWidth="1"/>
    <col min="34" max="34" width="11" style="2238" customWidth="1"/>
    <col min="35" max="35" width="8.5703125" style="2238" hidden="1" customWidth="1"/>
    <col min="36" max="36" width="4" style="2238" customWidth="1"/>
    <col min="37" max="37" width="115" style="2238" customWidth="1"/>
    <col min="38" max="42" width="10" style="2245" customWidth="1"/>
    <col min="43" max="43" width="10.5703125" style="2238" hidden="1"/>
  </cols>
  <sheetData>
    <row r="1" spans="1:43" ht="22.5" hidden="1" customHeight="1">
      <c r="X1" s="264"/>
      <c r="Y1" s="264"/>
      <c r="AE1" s="264"/>
      <c r="AF1" s="264"/>
      <c r="AQ1" s="1074" t="s">
        <v>14</v>
      </c>
    </row>
    <row r="2" spans="1:43" ht="23.25" hidden="1" customHeight="1">
      <c r="A2" s="1282"/>
      <c r="B2" s="1282"/>
      <c r="C2" s="1282"/>
      <c r="D2" s="1282"/>
      <c r="E2" s="2483">
        <v>1</v>
      </c>
      <c r="F2" s="1282"/>
      <c r="G2" s="1282"/>
      <c r="H2" s="1282"/>
      <c r="I2" s="1282"/>
      <c r="J2" s="1282"/>
      <c r="K2" s="1282"/>
      <c r="L2" s="1283"/>
      <c r="M2" s="1284"/>
      <c r="N2" s="1284"/>
      <c r="O2" s="1284"/>
      <c r="P2" s="298"/>
      <c r="Q2" s="297"/>
      <c r="R2" s="292"/>
      <c r="S2" s="1376" t="e">
        <f>INDEX(PT_DIFFERENTIATION_NUM_NTAR,MATCH(A2,PT_DIFFERENTIATION_NTAR_ID,0))</f>
        <v>#N/A</v>
      </c>
      <c r="T2" s="235" t="s">
        <v>123</v>
      </c>
      <c r="U2" s="237"/>
      <c r="V2" s="2469"/>
      <c r="W2" s="2470"/>
      <c r="X2" s="2470"/>
      <c r="Y2" s="2470"/>
      <c r="Z2" s="2470"/>
      <c r="AA2" s="2470"/>
      <c r="AB2" s="2471"/>
      <c r="AC2" s="2469" t="e">
        <f>INDEX(PT_DIFFERENTIATION_NTAR,MATCH(A2,PT_DIFFERENTIATION_NTAR_ID,0))</f>
        <v>#N/A</v>
      </c>
      <c r="AD2" s="2470"/>
      <c r="AE2" s="2470"/>
      <c r="AF2" s="2470"/>
      <c r="AG2" s="2470"/>
      <c r="AH2" s="2470"/>
      <c r="AI2" s="2470"/>
      <c r="AJ2" s="2471"/>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4">
        <v>0</v>
      </c>
    </row>
    <row r="3" spans="1:43" ht="23.25" hidden="1" customHeight="1">
      <c r="A3" s="1282"/>
      <c r="B3" s="1282"/>
      <c r="C3" s="1282"/>
      <c r="D3" s="1282"/>
      <c r="E3" s="2484"/>
      <c r="F3" s="2483">
        <v>1</v>
      </c>
      <c r="G3" s="1282"/>
      <c r="H3" s="1282"/>
      <c r="I3" s="1282"/>
      <c r="J3" s="1282"/>
      <c r="K3" s="1282"/>
      <c r="L3" s="1283"/>
      <c r="M3" s="1284"/>
      <c r="N3" s="1284"/>
      <c r="O3" s="1284"/>
      <c r="P3" s="1372"/>
      <c r="Q3" s="289"/>
      <c r="R3" s="290"/>
      <c r="S3" s="1376" t="e">
        <f>INDEX(PT_DIFFERENTIATION_NUM_TER,MATCH(B3,PT_DIFFERENTIATION_TER_ID,0))</f>
        <v>#N/A</v>
      </c>
      <c r="T3" s="245" t="s">
        <v>395</v>
      </c>
      <c r="U3" s="237"/>
      <c r="V3" s="2469"/>
      <c r="W3" s="2470"/>
      <c r="X3" s="2470"/>
      <c r="Y3" s="2470"/>
      <c r="Z3" s="2470"/>
      <c r="AA3" s="2470"/>
      <c r="AB3" s="2471"/>
      <c r="AC3" s="2469" t="e">
        <f>INDEX(PT_DIFFERENTIATION_TER,MATCH(B3,PT_DIFFERENTIATION_TER_ID,0))</f>
        <v>#N/A</v>
      </c>
      <c r="AD3" s="2470"/>
      <c r="AE3" s="2470"/>
      <c r="AF3" s="2470"/>
      <c r="AG3" s="2470"/>
      <c r="AH3" s="2470"/>
      <c r="AI3" s="2470"/>
      <c r="AJ3" s="2471"/>
      <c r="AK3" s="1177" t="s">
        <v>396</v>
      </c>
      <c r="AM3" s="437"/>
      <c r="AN3" s="437" t="str">
        <f t="shared" si="0"/>
        <v>Территория действия тарифа</v>
      </c>
      <c r="AO3" s="437"/>
      <c r="AP3" s="437"/>
      <c r="AQ3" s="1074">
        <v>0</v>
      </c>
    </row>
    <row r="4" spans="1:43" ht="23.25" hidden="1" customHeight="1">
      <c r="A4" s="1282"/>
      <c r="B4" s="1282"/>
      <c r="C4" s="1282"/>
      <c r="D4" s="1282"/>
      <c r="E4" s="2484"/>
      <c r="F4" s="2484"/>
      <c r="G4" s="2483">
        <v>1</v>
      </c>
      <c r="H4" s="1282"/>
      <c r="I4" s="1282"/>
      <c r="J4" s="1282"/>
      <c r="K4" s="1282"/>
      <c r="L4" s="1283"/>
      <c r="M4" s="1284"/>
      <c r="N4" s="1284"/>
      <c r="O4" s="1284"/>
      <c r="P4" s="291"/>
      <c r="Q4" s="289"/>
      <c r="R4" s="290"/>
      <c r="S4" s="1376" t="e">
        <f>INDEX(PT_DIFFERENTIATION_NUM_CS,MATCH(C4,PT_DIFFERENTIATION_CS_ID,0))</f>
        <v>#N/A</v>
      </c>
      <c r="T4" s="246" t="s">
        <v>479</v>
      </c>
      <c r="U4" s="237"/>
      <c r="V4" s="2469"/>
      <c r="W4" s="2470"/>
      <c r="X4" s="2470"/>
      <c r="Y4" s="2470"/>
      <c r="Z4" s="2470"/>
      <c r="AA4" s="2470"/>
      <c r="AB4" s="2471"/>
      <c r="AC4" s="2469" t="e">
        <f>INDEX(PT_DIFFERENTIATION_CS,MATCH(C4,PT_DIFFERENTIATION_CS_ID,0))</f>
        <v>#N/A</v>
      </c>
      <c r="AD4" s="2470"/>
      <c r="AE4" s="2470"/>
      <c r="AF4" s="2470"/>
      <c r="AG4" s="2470"/>
      <c r="AH4" s="2470"/>
      <c r="AI4" s="2470"/>
      <c r="AJ4" s="2471"/>
      <c r="AK4" s="1177" t="s">
        <v>480</v>
      </c>
      <c r="AM4" s="437"/>
      <c r="AN4" s="437" t="str">
        <f t="shared" si="0"/>
        <v>Наименование централизованной системы холодного водоснабжения</v>
      </c>
      <c r="AO4" s="437"/>
      <c r="AP4" s="437"/>
      <c r="AQ4" s="1074">
        <v>0</v>
      </c>
    </row>
    <row r="5" spans="1:43" ht="23.25" hidden="1" customHeight="1">
      <c r="A5" s="1282"/>
      <c r="B5" s="1282"/>
      <c r="C5" s="1282"/>
      <c r="D5" s="1282"/>
      <c r="E5" s="2484"/>
      <c r="F5" s="2484"/>
      <c r="G5" s="2484"/>
      <c r="H5" s="2484"/>
      <c r="I5" s="2481" t="e">
        <f>S4&amp;".1"</f>
        <v>#N/A</v>
      </c>
      <c r="J5" s="1282"/>
      <c r="K5" s="1282"/>
      <c r="L5" s="1283"/>
      <c r="P5" s="2482">
        <v>1</v>
      </c>
      <c r="Q5" s="1369"/>
      <c r="R5" s="293"/>
      <c r="S5" s="1376" t="e">
        <f>$I5</f>
        <v>#N/A</v>
      </c>
      <c r="T5" s="222" t="s">
        <v>481</v>
      </c>
      <c r="U5" s="237"/>
      <c r="V5" s="2550"/>
      <c r="W5" s="2551"/>
      <c r="X5" s="2551"/>
      <c r="Y5" s="2551"/>
      <c r="Z5" s="2551"/>
      <c r="AA5" s="2551"/>
      <c r="AB5" s="2552"/>
      <c r="AC5" s="2553"/>
      <c r="AD5" s="2554"/>
      <c r="AE5" s="2554"/>
      <c r="AF5" s="2554"/>
      <c r="AG5" s="2554"/>
      <c r="AH5" s="2554"/>
      <c r="AI5" s="2554"/>
      <c r="AJ5" s="2555"/>
      <c r="AK5" s="1177" t="s">
        <v>482</v>
      </c>
      <c r="AM5" s="437"/>
      <c r="AN5" s="437" t="str">
        <f t="shared" si="0"/>
        <v>Наименование признака дифференциации</v>
      </c>
      <c r="AO5" s="437"/>
      <c r="AP5" s="437"/>
      <c r="AQ5" s="1074">
        <v>0</v>
      </c>
    </row>
    <row r="6" spans="1:43" ht="23.25" hidden="1" customHeight="1">
      <c r="A6" s="1282"/>
      <c r="B6" s="1282"/>
      <c r="C6" s="1282"/>
      <c r="D6" s="1282"/>
      <c r="E6" s="2484"/>
      <c r="F6" s="2484"/>
      <c r="G6" s="2484"/>
      <c r="H6" s="2484"/>
      <c r="I6" s="2504"/>
      <c r="J6" s="2481" t="e">
        <f>I5&amp;".1"</f>
        <v>#N/A</v>
      </c>
      <c r="K6" s="1282"/>
      <c r="L6" s="1283" t="s">
        <v>404</v>
      </c>
      <c r="P6" s="2482"/>
      <c r="Q6" s="2482">
        <v>1</v>
      </c>
      <c r="R6" s="294"/>
      <c r="S6" s="1376" t="e">
        <f>$J6</f>
        <v>#N/A</v>
      </c>
      <c r="T6" s="223" t="s">
        <v>405</v>
      </c>
      <c r="U6" s="237"/>
      <c r="V6" s="2472"/>
      <c r="W6" s="2473"/>
      <c r="X6" s="2473"/>
      <c r="Y6" s="2473"/>
      <c r="Z6" s="2473"/>
      <c r="AA6" s="2473"/>
      <c r="AB6" s="2474"/>
      <c r="AC6" s="2472"/>
      <c r="AD6" s="2473"/>
      <c r="AE6" s="2473"/>
      <c r="AF6" s="2473"/>
      <c r="AG6" s="2473"/>
      <c r="AH6" s="2473"/>
      <c r="AI6" s="2473"/>
      <c r="AJ6" s="2474"/>
      <c r="AK6" s="1226" t="s">
        <v>483</v>
      </c>
      <c r="AM6" s="437"/>
      <c r="AN6" s="437" t="str">
        <f t="shared" si="0"/>
        <v>Группа потребителей</v>
      </c>
      <c r="AO6" s="437"/>
      <c r="AP6" s="437"/>
      <c r="AQ6" s="1074">
        <v>0</v>
      </c>
    </row>
    <row r="7" spans="1:43" ht="23.25" hidden="1" customHeight="1">
      <c r="A7" s="1282"/>
      <c r="B7" s="1282"/>
      <c r="C7" s="1282"/>
      <c r="D7" s="1282"/>
      <c r="E7" s="2484"/>
      <c r="F7" s="2484"/>
      <c r="G7" s="2484"/>
      <c r="H7" s="2484"/>
      <c r="I7" s="2504"/>
      <c r="J7" s="2504"/>
      <c r="K7" s="2481" t="e">
        <f>J6&amp;".1"</f>
        <v>#N/A</v>
      </c>
      <c r="L7" s="1283"/>
      <c r="P7" s="2482"/>
      <c r="Q7" s="2482"/>
      <c r="R7" s="294">
        <v>1</v>
      </c>
      <c r="S7" s="1376" t="e">
        <f>$K7</f>
        <v>#N/A</v>
      </c>
      <c r="T7" s="1356"/>
      <c r="U7" s="237"/>
      <c r="V7" s="688"/>
      <c r="W7" s="688"/>
      <c r="X7" s="1176"/>
      <c r="Y7" s="2486"/>
      <c r="Z7" s="2344" t="s">
        <v>64</v>
      </c>
      <c r="AA7" s="2486"/>
      <c r="AB7" s="2344" t="s">
        <v>64</v>
      </c>
      <c r="AC7" s="688"/>
      <c r="AD7" s="688"/>
      <c r="AE7" s="1176"/>
      <c r="AF7" s="2486"/>
      <c r="AG7" s="2344" t="s">
        <v>64</v>
      </c>
      <c r="AH7" s="2505"/>
      <c r="AI7" s="2344" t="s">
        <v>64</v>
      </c>
      <c r="AJ7" s="1357"/>
      <c r="AK7" s="25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4">
        <v>0</v>
      </c>
    </row>
    <row r="8" spans="1:43" ht="14.25" hidden="1" customHeight="1">
      <c r="A8" s="1282"/>
      <c r="B8" s="1282"/>
      <c r="C8" s="1282"/>
      <c r="D8" s="1282"/>
      <c r="E8" s="2484"/>
      <c r="F8" s="2484"/>
      <c r="G8" s="2484"/>
      <c r="H8" s="2484"/>
      <c r="I8" s="2504"/>
      <c r="J8" s="2504"/>
      <c r="K8" s="2481"/>
      <c r="L8" s="1283"/>
      <c r="P8" s="2482"/>
      <c r="Q8" s="2482"/>
      <c r="R8" s="294"/>
      <c r="S8" s="1375"/>
      <c r="T8" s="237"/>
      <c r="U8" s="237"/>
      <c r="V8" s="262"/>
      <c r="W8" s="262"/>
      <c r="X8" s="265" t="str">
        <f>Y7&amp;"-"&amp;AA7</f>
        <v>-</v>
      </c>
      <c r="Y8" s="2487"/>
      <c r="Z8" s="2344"/>
      <c r="AA8" s="2487"/>
      <c r="AB8" s="2344"/>
      <c r="AC8" s="262"/>
      <c r="AD8" s="262"/>
      <c r="AE8" s="265" t="str">
        <f>AF7&amp;"-"&amp;AH7</f>
        <v>-</v>
      </c>
      <c r="AF8" s="2487"/>
      <c r="AG8" s="2344"/>
      <c r="AH8" s="2506"/>
      <c r="AI8" s="2344"/>
      <c r="AJ8" s="1358"/>
      <c r="AK8" s="2549"/>
      <c r="AM8" s="437"/>
      <c r="AN8" s="437" t="str">
        <f t="shared" si="0"/>
        <v/>
      </c>
      <c r="AO8" s="437"/>
      <c r="AP8" s="437"/>
      <c r="AQ8" s="1074">
        <v>0</v>
      </c>
    </row>
    <row r="9" spans="1:43" ht="21" hidden="1" customHeight="1">
      <c r="A9" s="1282"/>
      <c r="B9" s="1282"/>
      <c r="C9" s="1282"/>
      <c r="D9" s="1282"/>
      <c r="E9" s="2484"/>
      <c r="F9" s="2484"/>
      <c r="G9" s="2484"/>
      <c r="H9" s="2484"/>
      <c r="I9" s="2504"/>
      <c r="J9" s="2481"/>
      <c r="K9" s="1282"/>
      <c r="L9" s="1283"/>
      <c r="P9" s="2482"/>
      <c r="Q9" s="2482"/>
      <c r="R9" s="293"/>
      <c r="S9" s="1197"/>
      <c r="T9" s="224" t="s">
        <v>484</v>
      </c>
      <c r="U9" s="304"/>
      <c r="V9" s="304"/>
      <c r="W9" s="304"/>
      <c r="X9" s="304"/>
      <c r="Y9" s="304"/>
      <c r="Z9" s="304"/>
      <c r="AA9" s="304"/>
      <c r="AB9" s="304"/>
      <c r="AC9" s="304"/>
      <c r="AD9" s="304"/>
      <c r="AE9" s="304"/>
      <c r="AF9" s="304"/>
      <c r="AG9" s="304"/>
      <c r="AH9" s="304"/>
      <c r="AI9" s="304"/>
      <c r="AJ9" s="304"/>
      <c r="AK9" s="1177" t="s">
        <v>485</v>
      </c>
      <c r="AM9" s="437"/>
      <c r="AN9" s="437" t="str">
        <f t="shared" si="0"/>
        <v>Добавить значение признака дифференциации</v>
      </c>
      <c r="AO9" s="437"/>
      <c r="AP9" s="437"/>
      <c r="AQ9" s="1074">
        <v>0</v>
      </c>
    </row>
    <row r="10" spans="1:43" ht="21" hidden="1" customHeight="1">
      <c r="A10" s="1282"/>
      <c r="B10" s="1282"/>
      <c r="C10" s="1282"/>
      <c r="D10" s="1282"/>
      <c r="E10" s="2484"/>
      <c r="F10" s="2484"/>
      <c r="G10" s="2484"/>
      <c r="H10" s="2484"/>
      <c r="I10" s="2481"/>
      <c r="J10" s="1282"/>
      <c r="K10" s="1282"/>
      <c r="L10" s="1283"/>
      <c r="P10" s="2482"/>
      <c r="Q10" s="1369"/>
      <c r="R10" s="293"/>
      <c r="S10" s="1197"/>
      <c r="T10" s="302" t="s">
        <v>410</v>
      </c>
      <c r="U10" s="304"/>
      <c r="V10" s="304"/>
      <c r="W10" s="304"/>
      <c r="X10" s="304"/>
      <c r="Y10" s="304"/>
      <c r="Z10" s="304"/>
      <c r="AA10" s="304"/>
      <c r="AB10" s="303"/>
      <c r="AC10" s="304"/>
      <c r="AD10" s="304"/>
      <c r="AE10" s="304"/>
      <c r="AF10" s="304"/>
      <c r="AG10" s="304"/>
      <c r="AH10" s="304"/>
      <c r="AI10" s="303"/>
      <c r="AJ10" s="304"/>
      <c r="AK10" s="1359"/>
      <c r="AM10" s="437"/>
      <c r="AN10" s="437" t="str">
        <f t="shared" si="0"/>
        <v>Добавить группу потребителей</v>
      </c>
      <c r="AO10" s="437"/>
      <c r="AP10" s="437"/>
      <c r="AQ10" s="1074">
        <v>0</v>
      </c>
    </row>
    <row r="11" spans="1:43" ht="21" hidden="1" customHeight="1">
      <c r="A11" s="1282"/>
      <c r="B11" s="1282"/>
      <c r="C11" s="1282"/>
      <c r="D11" s="1282"/>
      <c r="E11" s="2484"/>
      <c r="F11" s="2484"/>
      <c r="G11" s="2484"/>
      <c r="H11" s="2483"/>
      <c r="I11" s="1282"/>
      <c r="J11" s="1282"/>
      <c r="K11" s="1282"/>
      <c r="L11" s="1283"/>
      <c r="M11" s="1284"/>
      <c r="N11" s="1284"/>
      <c r="O11" s="474"/>
      <c r="P11" s="297"/>
      <c r="Q11" s="312"/>
      <c r="R11" s="292"/>
      <c r="S11" s="1197"/>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74">
        <v>0</v>
      </c>
    </row>
    <row r="12" spans="1:43" s="2245" customFormat="1" ht="14.25" hidden="1" customHeight="1">
      <c r="A12" s="1262"/>
      <c r="B12" s="1262"/>
      <c r="C12" s="1233"/>
      <c r="D12" s="1233"/>
      <c r="E12" s="2484"/>
      <c r="F12" s="2483"/>
      <c r="G12" s="1233"/>
      <c r="H12" s="1233"/>
      <c r="I12" s="1233"/>
      <c r="J12" s="1233"/>
      <c r="K12" s="1233"/>
      <c r="L12" s="1377"/>
      <c r="M12" s="1240"/>
      <c r="N12" s="1240"/>
      <c r="P12" s="1235"/>
      <c r="Q12" s="1236"/>
      <c r="R12" s="1235"/>
      <c r="S12" s="1241"/>
      <c r="T12" s="1244" t="s">
        <v>413</v>
      </c>
      <c r="U12" s="1243"/>
      <c r="V12" s="1243"/>
      <c r="W12" s="1243"/>
      <c r="X12" s="1243"/>
      <c r="Y12" s="1243"/>
      <c r="Z12" s="1243"/>
      <c r="AA12" s="1243"/>
      <c r="AB12" s="1243"/>
      <c r="AC12" s="1243"/>
      <c r="AD12" s="1243"/>
      <c r="AE12" s="1243"/>
      <c r="AF12" s="1243"/>
      <c r="AG12" s="1243"/>
      <c r="AH12" s="1243"/>
      <c r="AI12" s="1243"/>
      <c r="AJ12" s="1243"/>
      <c r="AK12" s="1243"/>
      <c r="AM12" s="720"/>
      <c r="AN12" s="720" t="str">
        <f t="shared" si="0"/>
        <v>Добавить централизованную систему для дифференциации</v>
      </c>
      <c r="AO12" s="720"/>
      <c r="AP12" s="720"/>
      <c r="AQ12" s="455">
        <v>0</v>
      </c>
    </row>
    <row r="13" spans="1:43" s="2245" customFormat="1" ht="14.25" hidden="1" customHeight="1">
      <c r="A13" s="1262"/>
      <c r="B13" s="1262"/>
      <c r="C13" s="1262"/>
      <c r="D13" s="1262"/>
      <c r="E13" s="2483"/>
      <c r="F13" s="1262"/>
      <c r="G13" s="1262"/>
      <c r="H13" s="1262"/>
      <c r="I13" s="1262"/>
      <c r="J13" s="1262"/>
      <c r="K13" s="1262"/>
      <c r="L13" s="1265"/>
      <c r="M13" s="1240"/>
      <c r="N13" s="1240"/>
      <c r="O13" s="455"/>
      <c r="P13" s="317"/>
      <c r="Q13" s="1263"/>
      <c r="R13" s="317"/>
      <c r="S13" s="1241"/>
      <c r="T13" s="1244" t="s">
        <v>414</v>
      </c>
      <c r="U13" s="1243"/>
      <c r="V13" s="1243"/>
      <c r="W13" s="1243"/>
      <c r="X13" s="1243"/>
      <c r="Y13" s="1243"/>
      <c r="Z13" s="1243"/>
      <c r="AA13" s="1243"/>
      <c r="AB13" s="1243"/>
      <c r="AC13" s="1243"/>
      <c r="AD13" s="1243"/>
      <c r="AE13" s="1243"/>
      <c r="AF13" s="1243"/>
      <c r="AG13" s="1243"/>
      <c r="AH13" s="1243"/>
      <c r="AI13" s="1243"/>
      <c r="AJ13" s="1243"/>
      <c r="AK13" s="1243"/>
      <c r="AM13" s="437"/>
      <c r="AN13" s="437" t="str">
        <f t="shared" si="0"/>
        <v>Добавить территорию для дифференциации</v>
      </c>
      <c r="AO13" s="437"/>
      <c r="AP13" s="437"/>
      <c r="AQ13" s="448">
        <v>0</v>
      </c>
    </row>
    <row r="14" spans="1:43" ht="14.25" hidden="1" customHeight="1">
      <c r="AB14" s="264"/>
      <c r="AI14" s="264"/>
      <c r="AQ14" s="1074">
        <v>0</v>
      </c>
    </row>
    <row r="15" spans="1:43" ht="14.25" hidden="1" customHeight="1">
      <c r="AC15" s="1279"/>
      <c r="AD15" s="1279"/>
      <c r="AE15" s="1280"/>
      <c r="AF15" s="2488"/>
      <c r="AG15" s="2489" t="s">
        <v>64</v>
      </c>
      <c r="AH15" s="2488"/>
      <c r="AI15" s="2489" t="s">
        <v>64</v>
      </c>
      <c r="AQ15" s="1074">
        <v>0</v>
      </c>
    </row>
    <row r="16" spans="1:43" ht="14.25" hidden="1" customHeight="1">
      <c r="AC16" s="1279"/>
      <c r="AD16" s="1279"/>
      <c r="AE16" s="265" t="str">
        <f>AF15&amp;"-"&amp;AH15</f>
        <v>-</v>
      </c>
      <c r="AF16" s="2489"/>
      <c r="AG16" s="2489"/>
      <c r="AH16" s="2489"/>
      <c r="AI16" s="2489"/>
      <c r="AQ16" s="1074">
        <v>0</v>
      </c>
    </row>
    <row r="17" spans="1:43" ht="14.25" hidden="1" customHeight="1">
      <c r="AI17" s="264"/>
      <c r="AQ17" s="1074">
        <v>0</v>
      </c>
    </row>
    <row r="18" spans="1:43" s="2244" customFormat="1" ht="22.5" hidden="1" customHeight="1">
      <c r="L18" s="1366"/>
      <c r="M18" s="1281"/>
      <c r="N18" s="1281"/>
      <c r="O18" s="1286" t="s">
        <v>415</v>
      </c>
      <c r="P18" s="1281"/>
      <c r="Q18" s="1290"/>
      <c r="R18" s="1290"/>
      <c r="S18" s="666"/>
      <c r="Y18" s="1286"/>
      <c r="AA18" s="1286"/>
      <c r="AB18" s="1285"/>
      <c r="AF18" s="1286"/>
      <c r="AH18" s="1286"/>
      <c r="AI18" s="1285"/>
      <c r="AL18" s="448"/>
      <c r="AM18" s="448"/>
      <c r="AN18" s="448"/>
      <c r="AO18" s="448"/>
      <c r="AP18" s="448"/>
      <c r="AQ18" s="1079">
        <v>0</v>
      </c>
    </row>
    <row r="19" spans="1:43" s="2244" customFormat="1" ht="14.25" hidden="1" customHeight="1">
      <c r="L19" s="1366"/>
      <c r="M19" s="1281"/>
      <c r="N19" s="1281"/>
      <c r="O19" s="1281"/>
      <c r="P19" s="1281"/>
      <c r="Q19" s="1290"/>
      <c r="R19" s="1290"/>
      <c r="S19" s="666"/>
      <c r="AB19" s="1285"/>
      <c r="AI19" s="1285"/>
      <c r="AL19" s="448"/>
      <c r="AM19" s="448"/>
      <c r="AN19" s="448"/>
      <c r="AO19" s="448"/>
      <c r="AP19" s="448"/>
      <c r="AQ19" s="1079">
        <v>0</v>
      </c>
    </row>
    <row r="20" spans="1:43" s="2244" customFormat="1" ht="12" hidden="1" customHeight="1">
      <c r="L20" s="1366"/>
      <c r="M20" s="1281"/>
      <c r="N20" s="1281"/>
      <c r="O20" s="1283" t="s">
        <v>416</v>
      </c>
      <c r="P20" s="1281"/>
      <c r="Q20" s="1361"/>
      <c r="R20" s="1361"/>
      <c r="S20" s="666"/>
      <c r="T20" s="1079" t="s">
        <v>417</v>
      </c>
      <c r="Z20" s="123" t="s">
        <v>418</v>
      </c>
      <c r="AB20" s="123" t="s">
        <v>419</v>
      </c>
      <c r="AC20" s="1079" t="s">
        <v>417</v>
      </c>
      <c r="AG20" s="123" t="s">
        <v>420</v>
      </c>
      <c r="AI20" s="123" t="s">
        <v>419</v>
      </c>
      <c r="AQ20" s="1079">
        <v>0</v>
      </c>
    </row>
    <row r="21" spans="1:43" ht="14.25" hidden="1" customHeight="1">
      <c r="O21" s="1283"/>
      <c r="AQ21" s="1074">
        <v>0</v>
      </c>
    </row>
    <row r="22" spans="1:43" ht="14.25" hidden="1" customHeight="1">
      <c r="O22" s="1283"/>
      <c r="AQ22" s="1074">
        <v>0</v>
      </c>
    </row>
    <row r="23" spans="1:43" ht="14.65" customHeight="1">
      <c r="Q23" s="313"/>
      <c r="R23" s="313"/>
      <c r="S23" s="1194"/>
      <c r="T23" s="300"/>
      <c r="U23" s="300"/>
      <c r="V23" s="446"/>
      <c r="W23" s="446"/>
      <c r="X23" s="446"/>
      <c r="Y23" s="446"/>
      <c r="Z23" s="446"/>
      <c r="AA23" s="446"/>
      <c r="AB23" s="446"/>
      <c r="AC23" s="446"/>
      <c r="AD23" s="446"/>
      <c r="AE23" s="446"/>
      <c r="AF23" s="446"/>
      <c r="AG23" s="446"/>
      <c r="AH23" s="446"/>
      <c r="AI23" s="446"/>
      <c r="AQ23" s="1074">
        <v>14</v>
      </c>
    </row>
    <row r="24" spans="1:43" ht="14.65" customHeight="1">
      <c r="Q24" s="313"/>
      <c r="R24" s="313"/>
      <c r="S24" s="24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67"/>
      <c r="U24" s="2467"/>
      <c r="V24" s="2467"/>
      <c r="W24" s="2467"/>
      <c r="X24" s="2467"/>
      <c r="Y24" s="2467"/>
      <c r="Z24" s="2467"/>
      <c r="AA24" s="2467"/>
      <c r="AB24" s="2467"/>
      <c r="AC24" s="2467"/>
      <c r="AD24" s="2467"/>
      <c r="AE24" s="2467"/>
      <c r="AF24" s="2467"/>
      <c r="AG24" s="2467"/>
      <c r="AH24" s="2467"/>
      <c r="AI24" s="1162"/>
      <c r="AQ24" s="1074">
        <v>14</v>
      </c>
    </row>
    <row r="25" spans="1:43" ht="14.65" customHeight="1">
      <c r="Q25" s="313"/>
      <c r="R25" s="313"/>
      <c r="S25" s="2412" t="str">
        <f>IF(org=0,"Не определено",org)</f>
        <v>МУП "Водоканал"</v>
      </c>
      <c r="T25" s="2412"/>
      <c r="U25" s="2412"/>
      <c r="V25" s="2412"/>
      <c r="W25" s="2412"/>
      <c r="X25" s="2412"/>
      <c r="Y25" s="2412"/>
      <c r="Z25" s="2412"/>
      <c r="AA25" s="2412"/>
      <c r="AB25" s="2412"/>
      <c r="AC25" s="2412"/>
      <c r="AD25" s="2412"/>
      <c r="AE25" s="2412"/>
      <c r="AF25" s="2412"/>
      <c r="AG25" s="2412"/>
      <c r="AH25" s="2412"/>
      <c r="AI25" s="1162"/>
      <c r="AQ25" s="1074">
        <v>14</v>
      </c>
    </row>
    <row r="26" spans="1:43" ht="14.25" hidden="1" customHeight="1">
      <c r="Q26" s="313"/>
      <c r="R26" s="313"/>
      <c r="S26" s="1194"/>
      <c r="T26" s="300"/>
      <c r="U26" s="300"/>
      <c r="V26" s="259"/>
      <c r="W26" s="259"/>
      <c r="X26" s="259"/>
      <c r="Y26" s="259"/>
      <c r="Z26" s="259"/>
      <c r="AA26" s="259"/>
      <c r="AB26" s="259"/>
      <c r="AC26" s="259"/>
      <c r="AD26" s="259"/>
      <c r="AE26" s="259"/>
      <c r="AF26" s="259"/>
      <c r="AG26" s="259"/>
      <c r="AH26" s="259"/>
      <c r="AI26" s="259"/>
      <c r="AJ26" s="446"/>
      <c r="AQ26" s="1074">
        <v>0</v>
      </c>
    </row>
    <row r="27" spans="1:43" s="2254" customFormat="1" ht="25.5" hidden="1" customHeight="1">
      <c r="A27" s="1287"/>
      <c r="B27" s="1287"/>
      <c r="C27" s="1287"/>
      <c r="D27" s="1287"/>
      <c r="E27" s="1287"/>
      <c r="F27" s="1287"/>
      <c r="G27" s="1287"/>
      <c r="H27" s="1287"/>
      <c r="I27" s="1287"/>
      <c r="J27" s="1287"/>
      <c r="K27" s="1287"/>
      <c r="L27" s="1288"/>
      <c r="M27" s="1287"/>
      <c r="N27" s="1287"/>
      <c r="O27" s="1287"/>
      <c r="S27" s="2475" t="s">
        <v>41</v>
      </c>
      <c r="T27" s="2475"/>
      <c r="U27" s="1291"/>
      <c r="V27" s="2476" t="str">
        <f>IF(TITLE_NAME_OR_PR_CHANGE="",IF(TITLE_NAME_OR_PR="","",TITLE_NAME_OR_PR),TITLE_NAME_OR_PR_CHANGE)</f>
        <v/>
      </c>
      <c r="W27" s="2476"/>
      <c r="X27" s="2476"/>
      <c r="Y27" s="2476"/>
      <c r="Z27" s="2476"/>
      <c r="AA27" s="2476"/>
      <c r="AB27" s="263"/>
      <c r="AC27" s="2476" t="str">
        <f>IF(TITLE_NAME_OR_PR_CHANGE="",IF(TITLE_NAME_OR_PR="","",TITLE_NAME_OR_PR),TITLE_NAME_OR_PR_CHANGE)</f>
        <v/>
      </c>
      <c r="AD27" s="2476"/>
      <c r="AE27" s="2476"/>
      <c r="AF27" s="2476"/>
      <c r="AG27" s="2476"/>
      <c r="AH27" s="2476"/>
      <c r="AI27" s="263"/>
      <c r="AJ27" s="263"/>
      <c r="AK27" s="217"/>
      <c r="AL27" s="305"/>
      <c r="AM27" s="305"/>
      <c r="AN27" s="305"/>
      <c r="AO27" s="305"/>
      <c r="AP27" s="305"/>
      <c r="AQ27" s="355">
        <v>0</v>
      </c>
    </row>
    <row r="28" spans="1:43" s="2254" customFormat="1" ht="18.75" hidden="1" customHeight="1">
      <c r="A28" s="1287"/>
      <c r="B28" s="1287"/>
      <c r="C28" s="1287"/>
      <c r="D28" s="1287"/>
      <c r="E28" s="1287"/>
      <c r="F28" s="1287"/>
      <c r="G28" s="1287"/>
      <c r="H28" s="1287"/>
      <c r="I28" s="1287"/>
      <c r="J28" s="1287"/>
      <c r="K28" s="1287"/>
      <c r="L28" s="1288"/>
      <c r="M28" s="1287"/>
      <c r="N28" s="1287"/>
      <c r="O28" s="1287"/>
      <c r="S28" s="2475" t="s">
        <v>421</v>
      </c>
      <c r="T28" s="2475"/>
      <c r="U28" s="1291"/>
      <c r="V28" s="2485" t="str">
        <f>IF(TITLE_DATE_PR_CHANGE="",IF(TITLE_DATE_PR="","",TITLE_DATE_PR),TITLE_DATE_PR_CHANGE)</f>
        <v/>
      </c>
      <c r="W28" s="2485"/>
      <c r="X28" s="2485"/>
      <c r="Y28" s="2485"/>
      <c r="Z28" s="2485"/>
      <c r="AA28" s="2485"/>
      <c r="AB28" s="263"/>
      <c r="AC28" s="2485" t="str">
        <f>IF(TITLE_DATE_PR_CHANGE="",IF(TITLE_DATE_PR="","",TITLE_DATE_PR),TITLE_DATE_PR_CHANGE)</f>
        <v/>
      </c>
      <c r="AD28" s="2485"/>
      <c r="AE28" s="2485"/>
      <c r="AF28" s="2485"/>
      <c r="AG28" s="2485"/>
      <c r="AH28" s="2485"/>
      <c r="AI28" s="263"/>
      <c r="AJ28" s="263"/>
      <c r="AK28" s="217"/>
      <c r="AL28" s="305"/>
      <c r="AM28" s="305"/>
      <c r="AN28" s="305"/>
      <c r="AO28" s="305"/>
      <c r="AP28" s="305"/>
      <c r="AQ28" s="355">
        <v>0</v>
      </c>
    </row>
    <row r="29" spans="1:43" s="2254" customFormat="1" ht="18.75" hidden="1" customHeight="1">
      <c r="A29" s="1287"/>
      <c r="B29" s="1287"/>
      <c r="C29" s="1287"/>
      <c r="D29" s="1287"/>
      <c r="E29" s="1287"/>
      <c r="F29" s="1287"/>
      <c r="G29" s="1287"/>
      <c r="H29" s="1287"/>
      <c r="I29" s="1287"/>
      <c r="J29" s="1287"/>
      <c r="K29" s="1287"/>
      <c r="L29" s="1288"/>
      <c r="M29" s="1287"/>
      <c r="N29" s="1287"/>
      <c r="O29" s="1287"/>
      <c r="S29" s="2475" t="s">
        <v>422</v>
      </c>
      <c r="T29" s="2475"/>
      <c r="U29" s="1291"/>
      <c r="V29" s="2476" t="str">
        <f>IF(TITLE_NUMBER_PR_CHANGE="",IF(TITLE_NUMBER_PR="","",TITLE_NUMBER_PR),TITLE_NUMBER_PR_CHANGE)</f>
        <v/>
      </c>
      <c r="W29" s="2476"/>
      <c r="X29" s="2476"/>
      <c r="Y29" s="2476"/>
      <c r="Z29" s="2476"/>
      <c r="AA29" s="2476"/>
      <c r="AB29" s="263"/>
      <c r="AC29" s="2476" t="str">
        <f>IF(TITLE_NUMBER_PR_CHANGE="",IF(TITLE_NUMBER_PR="","",TITLE_NUMBER_PR),TITLE_NUMBER_PR_CHANGE)</f>
        <v/>
      </c>
      <c r="AD29" s="2476"/>
      <c r="AE29" s="2476"/>
      <c r="AF29" s="2476"/>
      <c r="AG29" s="2476"/>
      <c r="AH29" s="2476"/>
      <c r="AI29" s="263"/>
      <c r="AJ29" s="263"/>
      <c r="AK29" s="217"/>
      <c r="AL29" s="305"/>
      <c r="AM29" s="305"/>
      <c r="AN29" s="305"/>
      <c r="AO29" s="305"/>
      <c r="AP29" s="305"/>
      <c r="AQ29" s="355">
        <v>0</v>
      </c>
    </row>
    <row r="30" spans="1:43" s="2254" customFormat="1" ht="18.75" hidden="1" customHeight="1">
      <c r="A30" s="1287"/>
      <c r="B30" s="1287"/>
      <c r="C30" s="1287"/>
      <c r="D30" s="1287"/>
      <c r="E30" s="1287"/>
      <c r="F30" s="1287"/>
      <c r="G30" s="1287"/>
      <c r="H30" s="1287"/>
      <c r="I30" s="1287"/>
      <c r="J30" s="1287"/>
      <c r="K30" s="1287"/>
      <c r="L30" s="1288"/>
      <c r="M30" s="1287"/>
      <c r="N30" s="1287"/>
      <c r="O30" s="1287"/>
      <c r="S30" s="2475" t="s">
        <v>42</v>
      </c>
      <c r="T30" s="2475"/>
      <c r="U30" s="1291"/>
      <c r="V30" s="2476" t="str">
        <f>IF(TITLE_IST_PUB_CHANGE="",IF(TITLE_IST_PUB="","",TITLE_IST_PUB),TITLE_IST_PUB_CHANGE)</f>
        <v/>
      </c>
      <c r="W30" s="2476"/>
      <c r="X30" s="2476"/>
      <c r="Y30" s="2476"/>
      <c r="Z30" s="2476"/>
      <c r="AA30" s="2476"/>
      <c r="AB30" s="263"/>
      <c r="AC30" s="2476" t="str">
        <f>IF(TITLE_IST_PUB_CHANGE="",IF(TITLE_IST_PUB="","",TITLE_IST_PUB),TITLE_IST_PUB_CHANGE)</f>
        <v/>
      </c>
      <c r="AD30" s="2476"/>
      <c r="AE30" s="2476"/>
      <c r="AF30" s="2476"/>
      <c r="AG30" s="2476"/>
      <c r="AH30" s="2476"/>
      <c r="AI30" s="263"/>
      <c r="AJ30" s="263"/>
      <c r="AK30" s="217"/>
      <c r="AL30" s="305"/>
      <c r="AM30" s="305"/>
      <c r="AN30" s="305"/>
      <c r="AO30" s="305"/>
      <c r="AP30" s="305"/>
      <c r="AQ30" s="355">
        <v>0</v>
      </c>
    </row>
    <row r="31" spans="1:43" ht="14.25" hidden="1" customHeight="1">
      <c r="Q31" s="313"/>
      <c r="R31" s="313"/>
      <c r="S31" s="1194"/>
      <c r="T31" s="300"/>
      <c r="U31" s="300"/>
      <c r="V31" s="259"/>
      <c r="W31" s="259"/>
      <c r="X31" s="259"/>
      <c r="Y31" s="259"/>
      <c r="Z31" s="259"/>
      <c r="AA31" s="259"/>
      <c r="AB31" s="259"/>
      <c r="AC31" s="259"/>
      <c r="AD31" s="259"/>
      <c r="AE31" s="259"/>
      <c r="AF31" s="259"/>
      <c r="AG31" s="259"/>
      <c r="AH31" s="259"/>
      <c r="AI31" s="259"/>
      <c r="AJ31" s="446"/>
      <c r="AQ31" s="1074">
        <v>0</v>
      </c>
    </row>
    <row r="32" spans="1:43" s="2254" customFormat="1" ht="18.75" hidden="1" customHeight="1">
      <c r="A32" s="1287"/>
      <c r="B32" s="1287"/>
      <c r="C32" s="1287"/>
      <c r="D32" s="1287"/>
      <c r="E32" s="1287"/>
      <c r="F32" s="1287"/>
      <c r="G32" s="1287"/>
      <c r="H32" s="1287"/>
      <c r="I32" s="1287"/>
      <c r="J32" s="1287"/>
      <c r="K32" s="1287"/>
      <c r="L32" s="1288"/>
      <c r="M32" s="1287"/>
      <c r="N32" s="1287"/>
      <c r="O32" s="1287"/>
      <c r="S32" s="2475" t="s">
        <v>423</v>
      </c>
      <c r="T32" s="2475"/>
      <c r="U32" s="1291"/>
      <c r="V32" s="2485" t="str">
        <f>IF(TITLE_DATE_PR_CHANGE="",IF(TITLE_DATE_PR="","",TITLE_DATE_PR),TITLE_DATE_PR_CHANGE)</f>
        <v/>
      </c>
      <c r="W32" s="2485"/>
      <c r="X32" s="2485"/>
      <c r="Y32" s="2485"/>
      <c r="Z32" s="2485"/>
      <c r="AA32" s="2485"/>
      <c r="AB32" s="263"/>
      <c r="AC32" s="2485" t="str">
        <f>IF(TITLE_DATE_PR_CHANGE="",IF(TITLE_DATE_PR="","",TITLE_DATE_PR),TITLE_DATE_PR_CHANGE)</f>
        <v/>
      </c>
      <c r="AD32" s="2485"/>
      <c r="AE32" s="2485"/>
      <c r="AF32" s="2485"/>
      <c r="AG32" s="2485"/>
      <c r="AH32" s="2485"/>
      <c r="AI32" s="263"/>
      <c r="AJ32" s="263"/>
      <c r="AK32" s="217"/>
      <c r="AL32" s="305"/>
      <c r="AM32" s="305"/>
      <c r="AN32" s="305"/>
      <c r="AO32" s="305"/>
      <c r="AP32" s="305"/>
      <c r="AQ32" s="355">
        <v>0</v>
      </c>
    </row>
    <row r="33" spans="1:43" s="2254" customFormat="1" ht="18.75" hidden="1" customHeight="1">
      <c r="A33" s="1287"/>
      <c r="B33" s="1287"/>
      <c r="C33" s="1287"/>
      <c r="D33" s="1287"/>
      <c r="E33" s="1287"/>
      <c r="F33" s="1287"/>
      <c r="G33" s="1287"/>
      <c r="H33" s="1287"/>
      <c r="I33" s="1287"/>
      <c r="J33" s="1287"/>
      <c r="K33" s="1287"/>
      <c r="L33" s="1288"/>
      <c r="M33" s="1287"/>
      <c r="N33" s="1287"/>
      <c r="O33" s="1287"/>
      <c r="S33" s="2475" t="s">
        <v>424</v>
      </c>
      <c r="T33" s="2475"/>
      <c r="U33" s="1291"/>
      <c r="V33" s="2476" t="str">
        <f>IF(TITLE_NUMBER_PR_CHANGE="",IF(TITLE_NUMBER_PR="","",TITLE_NUMBER_PR),TITLE_NUMBER_PR_CHANGE)</f>
        <v/>
      </c>
      <c r="W33" s="2476"/>
      <c r="X33" s="2476"/>
      <c r="Y33" s="2476"/>
      <c r="Z33" s="2476"/>
      <c r="AA33" s="2476"/>
      <c r="AB33" s="263"/>
      <c r="AC33" s="2476" t="str">
        <f>IF(TITLE_NUMBER_PR_CHANGE="",IF(TITLE_NUMBER_PR="","",TITLE_NUMBER_PR),TITLE_NUMBER_PR_CHANGE)</f>
        <v/>
      </c>
      <c r="AD33" s="2476"/>
      <c r="AE33" s="2476"/>
      <c r="AF33" s="2476"/>
      <c r="AG33" s="2476"/>
      <c r="AH33" s="2476"/>
      <c r="AI33" s="263"/>
      <c r="AJ33" s="263"/>
      <c r="AK33" s="217"/>
      <c r="AL33" s="305"/>
      <c r="AM33" s="305"/>
      <c r="AN33" s="305"/>
      <c r="AO33" s="305"/>
      <c r="AP33" s="305"/>
      <c r="AQ33" s="355">
        <v>0</v>
      </c>
    </row>
    <row r="34" spans="1:43" s="2254"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194"/>
      <c r="T35" s="300"/>
      <c r="U35" s="1163"/>
      <c r="V35" s="2477"/>
      <c r="W35" s="2477"/>
      <c r="X35" s="2477"/>
      <c r="Y35" s="2477"/>
      <c r="Z35" s="2477"/>
      <c r="AA35" s="2477"/>
      <c r="AB35" s="2477"/>
      <c r="AC35" s="2477"/>
      <c r="AD35" s="2477"/>
      <c r="AE35" s="2477"/>
      <c r="AF35" s="2477"/>
      <c r="AG35" s="2477"/>
      <c r="AH35" s="2477"/>
      <c r="AI35" s="2477"/>
      <c r="AQ35" s="1074">
        <v>14</v>
      </c>
    </row>
    <row r="36" spans="1:43" ht="14.65" customHeight="1">
      <c r="Q36" s="313"/>
      <c r="R36" s="313"/>
      <c r="S36" s="2363" t="s">
        <v>298</v>
      </c>
      <c r="T36" s="2363"/>
      <c r="U36" s="2363"/>
      <c r="V36" s="2363"/>
      <c r="W36" s="2363"/>
      <c r="X36" s="2363"/>
      <c r="Y36" s="2363"/>
      <c r="Z36" s="2363"/>
      <c r="AA36" s="2363"/>
      <c r="AB36" s="2363"/>
      <c r="AC36" s="2363"/>
      <c r="AD36" s="2363"/>
      <c r="AE36" s="2363"/>
      <c r="AF36" s="2363"/>
      <c r="AG36" s="2363"/>
      <c r="AH36" s="2363"/>
      <c r="AI36" s="2363"/>
      <c r="AJ36" s="2363"/>
      <c r="AK36" s="2363" t="s">
        <v>299</v>
      </c>
      <c r="AQ36" s="1074">
        <v>14</v>
      </c>
    </row>
    <row r="37" spans="1:43" ht="14.65" customHeight="1">
      <c r="Q37" s="313"/>
      <c r="R37" s="313"/>
      <c r="S37" s="2491" t="s">
        <v>87</v>
      </c>
      <c r="T37" s="2442" t="s">
        <v>426</v>
      </c>
      <c r="U37" s="238"/>
      <c r="V37" s="2492" t="s">
        <v>427</v>
      </c>
      <c r="W37" s="2493"/>
      <c r="X37" s="2493"/>
      <c r="Y37" s="2493"/>
      <c r="Z37" s="2493"/>
      <c r="AA37" s="2494"/>
      <c r="AB37" s="2495" t="s">
        <v>428</v>
      </c>
      <c r="AC37" s="2492" t="s">
        <v>427</v>
      </c>
      <c r="AD37" s="2493"/>
      <c r="AE37" s="2493"/>
      <c r="AF37" s="2493"/>
      <c r="AG37" s="2493"/>
      <c r="AH37" s="2494"/>
      <c r="AI37" s="2495" t="s">
        <v>429</v>
      </c>
      <c r="AJ37" s="2498" t="s">
        <v>430</v>
      </c>
      <c r="AK37" s="2363"/>
      <c r="AQ37" s="1074">
        <v>14</v>
      </c>
    </row>
    <row r="38" spans="1:43" ht="35.65" customHeight="1">
      <c r="Q38" s="313"/>
      <c r="R38" s="313"/>
      <c r="S38" s="2491"/>
      <c r="T38" s="2442"/>
      <c r="U38" s="955"/>
      <c r="V38" s="1371" t="s">
        <v>487</v>
      </c>
      <c r="W38" s="2335" t="s">
        <v>433</v>
      </c>
      <c r="X38" s="2334"/>
      <c r="Y38" s="2335" t="s">
        <v>434</v>
      </c>
      <c r="Z38" s="2340"/>
      <c r="AA38" s="2334"/>
      <c r="AB38" s="2496"/>
      <c r="AC38" s="1371" t="s">
        <v>487</v>
      </c>
      <c r="AD38" s="2335" t="s">
        <v>433</v>
      </c>
      <c r="AE38" s="2334"/>
      <c r="AF38" s="2335" t="s">
        <v>434</v>
      </c>
      <c r="AG38" s="2340"/>
      <c r="AH38" s="2334"/>
      <c r="AI38" s="2496"/>
      <c r="AJ38" s="2499"/>
      <c r="AK38" s="2363"/>
      <c r="AQ38" s="1074">
        <v>34</v>
      </c>
    </row>
    <row r="39" spans="1:43" ht="35.65" customHeight="1">
      <c r="A39" s="1289"/>
      <c r="B39" s="1289" t="s">
        <v>135</v>
      </c>
      <c r="C39" s="1289" t="s">
        <v>136</v>
      </c>
      <c r="D39" s="1289" t="s">
        <v>137</v>
      </c>
      <c r="E39" s="1283" t="s">
        <v>435</v>
      </c>
      <c r="F39" s="1283" t="s">
        <v>436</v>
      </c>
      <c r="G39" s="1283" t="s">
        <v>437</v>
      </c>
      <c r="H39" s="1283"/>
      <c r="I39" s="1283" t="s">
        <v>488</v>
      </c>
      <c r="J39" s="1283" t="s">
        <v>440</v>
      </c>
      <c r="K39" s="1283" t="s">
        <v>489</v>
      </c>
      <c r="L39" s="1283" t="s">
        <v>416</v>
      </c>
      <c r="Q39" s="313"/>
      <c r="R39" s="313"/>
      <c r="S39" s="2491"/>
      <c r="T39" s="2442"/>
      <c r="U39" s="239"/>
      <c r="V39" s="1371" t="s">
        <v>490</v>
      </c>
      <c r="W39" s="1141" t="s">
        <v>491</v>
      </c>
      <c r="X39" s="1141" t="s">
        <v>492</v>
      </c>
      <c r="Y39" s="1374" t="s">
        <v>444</v>
      </c>
      <c r="Z39" s="2451" t="s">
        <v>445</v>
      </c>
      <c r="AA39" s="2453"/>
      <c r="AB39" s="2497"/>
      <c r="AC39" s="1371" t="s">
        <v>490</v>
      </c>
      <c r="AD39" s="1141" t="s">
        <v>491</v>
      </c>
      <c r="AE39" s="1141" t="s">
        <v>492</v>
      </c>
      <c r="AF39" s="1374" t="s">
        <v>444</v>
      </c>
      <c r="AG39" s="2451" t="s">
        <v>445</v>
      </c>
      <c r="AH39" s="2453"/>
      <c r="AI39" s="2497"/>
      <c r="AJ39" s="2500"/>
      <c r="AK39" s="2363"/>
      <c r="AQ39" s="1074">
        <v>34</v>
      </c>
    </row>
    <row r="40" spans="1:43" s="2269"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108</v>
      </c>
      <c r="T40" s="1174" t="s">
        <v>109</v>
      </c>
      <c r="U40" s="1164" t="str">
        <f ca="1">OFFSET(U40,0,-1)</f>
        <v>2</v>
      </c>
      <c r="V40" s="1370">
        <f ca="1">OFFSET(V40,0,-1)+1</f>
        <v>3</v>
      </c>
      <c r="W40" s="1370">
        <f ca="1">OFFSET(W40,0,-1)+1</f>
        <v>4</v>
      </c>
      <c r="X40" s="1370">
        <f ca="1">OFFSET(X40,0,-1)+1</f>
        <v>5</v>
      </c>
      <c r="Y40" s="1370">
        <f ca="1">OFFSET(Y40,0,-1)+1</f>
        <v>6</v>
      </c>
      <c r="Z40" s="2490">
        <f ca="1">OFFSET(Z40,0,-1)+1</f>
        <v>7</v>
      </c>
      <c r="AA40" s="2490"/>
      <c r="AB40" s="1370">
        <f ca="1">OFFSET(AB40,0,-2)+1</f>
        <v>8</v>
      </c>
      <c r="AC40" s="1370">
        <f ca="1">OFFSET(AC40,0,-1)+1</f>
        <v>9</v>
      </c>
      <c r="AD40" s="1370">
        <f ca="1">OFFSET(AD40,0,-1)+1</f>
        <v>10</v>
      </c>
      <c r="AE40" s="1370">
        <f ca="1">OFFSET(AE40,0,-1)+1</f>
        <v>11</v>
      </c>
      <c r="AF40" s="1370">
        <f ca="1">OFFSET(AF40,0,-1)+1</f>
        <v>12</v>
      </c>
      <c r="AG40" s="2490">
        <f ca="1">OFFSET(AG40,0,-1)+1</f>
        <v>13</v>
      </c>
      <c r="AH40" s="2490"/>
      <c r="AI40" s="1370">
        <f ca="1">OFFSET(AI40,0,-2)+1</f>
        <v>14</v>
      </c>
      <c r="AJ40" s="1164">
        <f ca="1">OFFSET(AJ40,0,-1)</f>
        <v>14</v>
      </c>
      <c r="AK40" s="1370">
        <f ca="1">OFFSET(AK40,0,-1)+1</f>
        <v>15</v>
      </c>
      <c r="AL40" s="448"/>
      <c r="AM40" s="448"/>
      <c r="AN40" s="448"/>
      <c r="AO40" s="448"/>
      <c r="AP40" s="448"/>
      <c r="AQ40" s="433">
        <v>0</v>
      </c>
    </row>
    <row r="41" spans="1:43" ht="24" customHeight="1">
      <c r="A41" s="1282" t="s">
        <v>234</v>
      </c>
      <c r="B41" s="1282"/>
      <c r="C41" s="1282"/>
      <c r="D41" s="1282"/>
      <c r="E41" s="2483">
        <v>1</v>
      </c>
      <c r="F41" s="1282"/>
      <c r="G41" s="1282"/>
      <c r="H41" s="1282"/>
      <c r="I41" s="1282"/>
      <c r="J41" s="1282"/>
      <c r="K41" s="1282"/>
      <c r="L41" s="1283"/>
      <c r="M41" s="1284"/>
      <c r="N41" s="1284"/>
      <c r="O41" s="1284"/>
      <c r="P41" s="298"/>
      <c r="Q41" s="297"/>
      <c r="R41" s="292"/>
      <c r="S41" s="1376">
        <f>INDEX(PT_DIFFERENTIATION_NUM_NTAR,MATCH(A41,PT_DIFFERENTIATION_NTAR_ID,0))</f>
        <v>0</v>
      </c>
      <c r="T41" s="235" t="s">
        <v>123</v>
      </c>
      <c r="U41" s="237"/>
      <c r="V41" s="2469"/>
      <c r="W41" s="2470"/>
      <c r="X41" s="2470"/>
      <c r="Y41" s="2470"/>
      <c r="Z41" s="2470"/>
      <c r="AA41" s="2470"/>
      <c r="AB41" s="2471"/>
      <c r="AC41" s="2469" t="str">
        <f>INDEX(PT_DIFFERENTIATION_NTAR,MATCH(A41,PT_DIFFERENTIATION_NTAR_ID,0))</f>
        <v/>
      </c>
      <c r="AD41" s="2470"/>
      <c r="AE41" s="2470"/>
      <c r="AF41" s="2470"/>
      <c r="AG41" s="2470"/>
      <c r="AH41" s="2470"/>
      <c r="AI41" s="2470"/>
      <c r="AJ41" s="2471"/>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4">
        <v>23</v>
      </c>
    </row>
    <row r="42" spans="1:43" ht="24" customHeight="1">
      <c r="A42" s="1282" t="s">
        <v>234</v>
      </c>
      <c r="B42" s="1282" t="s">
        <v>235</v>
      </c>
      <c r="C42" s="1282"/>
      <c r="D42" s="1282"/>
      <c r="E42" s="2484"/>
      <c r="F42" s="2483">
        <v>1</v>
      </c>
      <c r="G42" s="1282"/>
      <c r="H42" s="1282"/>
      <c r="I42" s="1282"/>
      <c r="J42" s="1282"/>
      <c r="K42" s="1282"/>
      <c r="L42" s="1283"/>
      <c r="M42" s="1284"/>
      <c r="N42" s="1284"/>
      <c r="O42" s="1284"/>
      <c r="P42" s="1372"/>
      <c r="Q42" s="289"/>
      <c r="R42" s="290"/>
      <c r="S42" s="1376" t="str">
        <f>INDEX(PT_DIFFERENTIATION_NUM_TER,MATCH(B42,PT_DIFFERENTIATION_TER_ID,0))</f>
        <v>.</v>
      </c>
      <c r="T42" s="245" t="s">
        <v>395</v>
      </c>
      <c r="U42" s="237"/>
      <c r="V42" s="2469"/>
      <c r="W42" s="2470"/>
      <c r="X42" s="2470"/>
      <c r="Y42" s="2470"/>
      <c r="Z42" s="2470"/>
      <c r="AA42" s="2470"/>
      <c r="AB42" s="2471"/>
      <c r="AC42" s="2469" t="str">
        <f>INDEX(PT_DIFFERENTIATION_TER,MATCH(B42,PT_DIFFERENTIATION_TER_ID,0))</f>
        <v/>
      </c>
      <c r="AD42" s="2470"/>
      <c r="AE42" s="2470"/>
      <c r="AF42" s="2470"/>
      <c r="AG42" s="2470"/>
      <c r="AH42" s="2470"/>
      <c r="AI42" s="2470"/>
      <c r="AJ42" s="2471"/>
      <c r="AK42" s="1177" t="s">
        <v>396</v>
      </c>
      <c r="AM42" s="437"/>
      <c r="AN42" s="437" t="str">
        <f t="shared" si="1"/>
        <v>Территория действия тарифа</v>
      </c>
      <c r="AO42" s="437"/>
      <c r="AP42" s="437"/>
      <c r="AQ42" s="1074">
        <v>23</v>
      </c>
    </row>
    <row r="43" spans="1:43" ht="24" customHeight="1">
      <c r="A43" s="1282" t="s">
        <v>234</v>
      </c>
      <c r="B43" s="1282" t="s">
        <v>235</v>
      </c>
      <c r="C43" s="1282" t="s">
        <v>236</v>
      </c>
      <c r="D43" s="1282"/>
      <c r="E43" s="2484"/>
      <c r="F43" s="2484"/>
      <c r="G43" s="2483">
        <v>1</v>
      </c>
      <c r="H43" s="1282"/>
      <c r="I43" s="1282"/>
      <c r="J43" s="1282"/>
      <c r="K43" s="1282"/>
      <c r="L43" s="1283"/>
      <c r="M43" s="1284"/>
      <c r="N43" s="1284"/>
      <c r="O43" s="1284"/>
      <c r="P43" s="291"/>
      <c r="Q43" s="289"/>
      <c r="R43" s="290"/>
      <c r="S43" s="1376" t="str">
        <f>INDEX(PT_DIFFERENTIATION_NUM_CS,MATCH(C43,PT_DIFFERENTIATION_CS_ID,0))</f>
        <v>..</v>
      </c>
      <c r="T43" s="246" t="s">
        <v>479</v>
      </c>
      <c r="U43" s="237"/>
      <c r="V43" s="2469"/>
      <c r="W43" s="2470"/>
      <c r="X43" s="2470"/>
      <c r="Y43" s="2470"/>
      <c r="Z43" s="2470"/>
      <c r="AA43" s="2470"/>
      <c r="AB43" s="2471"/>
      <c r="AC43" s="2469" t="str">
        <f>INDEX(PT_DIFFERENTIATION_CS,MATCH(C43,PT_DIFFERENTIATION_CS_ID,0))</f>
        <v/>
      </c>
      <c r="AD43" s="2470"/>
      <c r="AE43" s="2470"/>
      <c r="AF43" s="2470"/>
      <c r="AG43" s="2470"/>
      <c r="AH43" s="2470"/>
      <c r="AI43" s="2470"/>
      <c r="AJ43" s="2471"/>
      <c r="AK43" s="1177" t="s">
        <v>480</v>
      </c>
      <c r="AM43" s="437"/>
      <c r="AN43" s="437" t="str">
        <f t="shared" si="1"/>
        <v>Наименование централизованной системы холодного водоснабжения</v>
      </c>
      <c r="AO43" s="437"/>
      <c r="AP43" s="437"/>
      <c r="AQ43" s="1074">
        <v>23</v>
      </c>
    </row>
    <row r="44" spans="1:43" ht="24" customHeight="1">
      <c r="A44" s="1282" t="s">
        <v>234</v>
      </c>
      <c r="B44" s="1282" t="s">
        <v>235</v>
      </c>
      <c r="C44" s="1282" t="s">
        <v>236</v>
      </c>
      <c r="D44" s="1282" t="s">
        <v>495</v>
      </c>
      <c r="E44" s="2484"/>
      <c r="F44" s="2484"/>
      <c r="G44" s="2484"/>
      <c r="H44" s="2484"/>
      <c r="I44" s="2481" t="str">
        <f>S43&amp;".1"</f>
        <v>...1</v>
      </c>
      <c r="J44" s="1282"/>
      <c r="K44" s="1282"/>
      <c r="L44" s="1283"/>
      <c r="P44" s="2482">
        <v>1</v>
      </c>
      <c r="Q44" s="1369"/>
      <c r="R44" s="293"/>
      <c r="S44" s="1376" t="str">
        <f>$I44</f>
        <v>...1</v>
      </c>
      <c r="T44" s="222" t="s">
        <v>481</v>
      </c>
      <c r="U44" s="237"/>
      <c r="V44" s="2550"/>
      <c r="W44" s="2551"/>
      <c r="X44" s="2551"/>
      <c r="Y44" s="2551"/>
      <c r="Z44" s="2551"/>
      <c r="AA44" s="2551"/>
      <c r="AB44" s="2552"/>
      <c r="AC44" s="2553"/>
      <c r="AD44" s="2554"/>
      <c r="AE44" s="2554"/>
      <c r="AF44" s="2554"/>
      <c r="AG44" s="2554"/>
      <c r="AH44" s="2554"/>
      <c r="AI44" s="2554"/>
      <c r="AJ44" s="2555"/>
      <c r="AK44" s="1177" t="s">
        <v>482</v>
      </c>
      <c r="AM44" s="437"/>
      <c r="AN44" s="437" t="str">
        <f t="shared" si="1"/>
        <v>Наименование признака дифференциации</v>
      </c>
      <c r="AO44" s="437"/>
      <c r="AP44" s="437"/>
      <c r="AQ44" s="1074">
        <v>23</v>
      </c>
    </row>
    <row r="45" spans="1:43" ht="24" customHeight="1">
      <c r="A45" s="1282" t="s">
        <v>234</v>
      </c>
      <c r="B45" s="1282" t="s">
        <v>235</v>
      </c>
      <c r="C45" s="1282" t="s">
        <v>236</v>
      </c>
      <c r="D45" s="1282" t="s">
        <v>495</v>
      </c>
      <c r="E45" s="2484"/>
      <c r="F45" s="2484"/>
      <c r="G45" s="2484"/>
      <c r="H45" s="2484"/>
      <c r="I45" s="2504"/>
      <c r="J45" s="2481" t="str">
        <f>I44&amp;".1"</f>
        <v>...1.1</v>
      </c>
      <c r="K45" s="1282"/>
      <c r="L45" s="1283" t="s">
        <v>404</v>
      </c>
      <c r="P45" s="2482"/>
      <c r="Q45" s="2482">
        <v>1</v>
      </c>
      <c r="R45" s="294"/>
      <c r="S45" s="1376" t="str">
        <f>$J45</f>
        <v>...1.1</v>
      </c>
      <c r="T45" s="223" t="s">
        <v>405</v>
      </c>
      <c r="U45" s="237"/>
      <c r="V45" s="2472"/>
      <c r="W45" s="2473"/>
      <c r="X45" s="2473"/>
      <c r="Y45" s="2473"/>
      <c r="Z45" s="2473"/>
      <c r="AA45" s="2473"/>
      <c r="AB45" s="2474"/>
      <c r="AC45" s="2472"/>
      <c r="AD45" s="2473"/>
      <c r="AE45" s="2473"/>
      <c r="AF45" s="2473"/>
      <c r="AG45" s="2473"/>
      <c r="AH45" s="2473"/>
      <c r="AI45" s="2473"/>
      <c r="AJ45" s="2474"/>
      <c r="AK45" s="1226" t="s">
        <v>483</v>
      </c>
      <c r="AM45" s="437"/>
      <c r="AN45" s="437" t="str">
        <f t="shared" si="1"/>
        <v>Группа потребителей</v>
      </c>
      <c r="AO45" s="437"/>
      <c r="AP45" s="437"/>
      <c r="AQ45" s="1074">
        <v>23</v>
      </c>
    </row>
    <row r="46" spans="1:43" ht="24" customHeight="1">
      <c r="A46" s="1282" t="s">
        <v>234</v>
      </c>
      <c r="B46" s="1282" t="s">
        <v>235</v>
      </c>
      <c r="C46" s="1282" t="s">
        <v>236</v>
      </c>
      <c r="D46" s="1282" t="s">
        <v>495</v>
      </c>
      <c r="E46" s="2484"/>
      <c r="F46" s="2484"/>
      <c r="G46" s="2484"/>
      <c r="H46" s="2484"/>
      <c r="I46" s="2504"/>
      <c r="J46" s="2504"/>
      <c r="K46" s="2481" t="str">
        <f>J45&amp;".1"</f>
        <v>...1.1.1</v>
      </c>
      <c r="L46" s="1283"/>
      <c r="P46" s="2482"/>
      <c r="Q46" s="2482"/>
      <c r="R46" s="294">
        <v>1</v>
      </c>
      <c r="S46" s="1376" t="str">
        <f>$K46</f>
        <v>...1.1.1</v>
      </c>
      <c r="T46" s="1356"/>
      <c r="U46" s="237"/>
      <c r="V46" s="688"/>
      <c r="W46" s="688"/>
      <c r="X46" s="1176"/>
      <c r="Y46" s="2486"/>
      <c r="Z46" s="2344" t="s">
        <v>64</v>
      </c>
      <c r="AA46" s="2486"/>
      <c r="AB46" s="2344" t="s">
        <v>64</v>
      </c>
      <c r="AC46" s="688"/>
      <c r="AD46" s="688"/>
      <c r="AE46" s="1176"/>
      <c r="AF46" s="2486"/>
      <c r="AG46" s="2344" t="s">
        <v>64</v>
      </c>
      <c r="AH46" s="2505"/>
      <c r="AI46" s="2344" t="s">
        <v>64</v>
      </c>
      <c r="AJ46" s="1357"/>
      <c r="AK46" s="25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4">
        <v>23</v>
      </c>
    </row>
    <row r="47" spans="1:43" ht="0" hidden="1" customHeight="1">
      <c r="A47" s="1282" t="s">
        <v>234</v>
      </c>
      <c r="B47" s="1282" t="s">
        <v>235</v>
      </c>
      <c r="C47" s="1282" t="s">
        <v>236</v>
      </c>
      <c r="D47" s="1282" t="s">
        <v>495</v>
      </c>
      <c r="E47" s="2484"/>
      <c r="F47" s="2484"/>
      <c r="G47" s="2484"/>
      <c r="H47" s="2484"/>
      <c r="I47" s="2504"/>
      <c r="J47" s="2504"/>
      <c r="K47" s="2481"/>
      <c r="L47" s="1283"/>
      <c r="P47" s="2482"/>
      <c r="Q47" s="2482"/>
      <c r="R47" s="294"/>
      <c r="S47" s="1375"/>
      <c r="T47" s="237"/>
      <c r="U47" s="237"/>
      <c r="V47" s="262"/>
      <c r="W47" s="262"/>
      <c r="X47" s="265" t="str">
        <f>Y46&amp;"-"&amp;AA46</f>
        <v>-</v>
      </c>
      <c r="Y47" s="2487"/>
      <c r="Z47" s="2344"/>
      <c r="AA47" s="2487"/>
      <c r="AB47" s="2344"/>
      <c r="AC47" s="262"/>
      <c r="AD47" s="262"/>
      <c r="AE47" s="265" t="str">
        <f>AF46&amp;"-"&amp;AH46</f>
        <v>-</v>
      </c>
      <c r="AF47" s="2487"/>
      <c r="AG47" s="2344"/>
      <c r="AH47" s="2506"/>
      <c r="AI47" s="2344"/>
      <c r="AJ47" s="1358"/>
      <c r="AK47" s="2549"/>
      <c r="AM47" s="437"/>
      <c r="AN47" s="437" t="str">
        <f t="shared" si="1"/>
        <v/>
      </c>
      <c r="AO47" s="437"/>
      <c r="AP47" s="437"/>
      <c r="AQ47" s="1074">
        <v>0</v>
      </c>
    </row>
    <row r="48" spans="1:43" ht="21" customHeight="1">
      <c r="A48" s="1282" t="s">
        <v>234</v>
      </c>
      <c r="B48" s="1282" t="s">
        <v>235</v>
      </c>
      <c r="C48" s="1282" t="s">
        <v>236</v>
      </c>
      <c r="D48" s="1282" t="s">
        <v>495</v>
      </c>
      <c r="E48" s="2484"/>
      <c r="F48" s="2484"/>
      <c r="G48" s="2484"/>
      <c r="H48" s="2484"/>
      <c r="I48" s="2504"/>
      <c r="J48" s="2481"/>
      <c r="K48" s="1282"/>
      <c r="L48" s="1283"/>
      <c r="P48" s="2482"/>
      <c r="Q48" s="2482"/>
      <c r="R48" s="293"/>
      <c r="S48" s="1197"/>
      <c r="T48" s="224" t="s">
        <v>484</v>
      </c>
      <c r="U48" s="304"/>
      <c r="V48" s="304"/>
      <c r="W48" s="304"/>
      <c r="X48" s="304"/>
      <c r="Y48" s="304"/>
      <c r="Z48" s="304"/>
      <c r="AA48" s="304"/>
      <c r="AB48" s="304"/>
      <c r="AC48" s="304"/>
      <c r="AD48" s="304"/>
      <c r="AE48" s="304"/>
      <c r="AF48" s="304"/>
      <c r="AG48" s="304"/>
      <c r="AH48" s="304"/>
      <c r="AI48" s="304"/>
      <c r="AJ48" s="304"/>
      <c r="AK48" s="1177" t="s">
        <v>485</v>
      </c>
      <c r="AM48" s="437"/>
      <c r="AN48" s="437" t="str">
        <f t="shared" si="1"/>
        <v>Добавить значение признака дифференциации</v>
      </c>
      <c r="AO48" s="437"/>
      <c r="AP48" s="437"/>
      <c r="AQ48" s="1074">
        <v>20</v>
      </c>
    </row>
    <row r="49" spans="1:43" ht="21.95" customHeight="1">
      <c r="A49" s="1282" t="s">
        <v>234</v>
      </c>
      <c r="B49" s="1282" t="s">
        <v>235</v>
      </c>
      <c r="C49" s="1282" t="s">
        <v>236</v>
      </c>
      <c r="D49" s="1282" t="s">
        <v>495</v>
      </c>
      <c r="E49" s="2484"/>
      <c r="F49" s="2484"/>
      <c r="G49" s="2484"/>
      <c r="H49" s="2484"/>
      <c r="I49" s="2481"/>
      <c r="J49" s="1282"/>
      <c r="K49" s="1282"/>
      <c r="L49" s="1283"/>
      <c r="P49" s="2482"/>
      <c r="Q49" s="1369"/>
      <c r="R49" s="293"/>
      <c r="S49" s="1197"/>
      <c r="T49" s="302" t="s">
        <v>410</v>
      </c>
      <c r="U49" s="304"/>
      <c r="V49" s="304"/>
      <c r="W49" s="304"/>
      <c r="X49" s="304"/>
      <c r="Y49" s="304"/>
      <c r="Z49" s="304"/>
      <c r="AA49" s="304"/>
      <c r="AB49" s="303"/>
      <c r="AC49" s="304"/>
      <c r="AD49" s="304"/>
      <c r="AE49" s="304"/>
      <c r="AF49" s="304"/>
      <c r="AG49" s="304"/>
      <c r="AH49" s="304"/>
      <c r="AI49" s="303"/>
      <c r="AJ49" s="304"/>
      <c r="AK49" s="1359"/>
      <c r="AM49" s="437"/>
      <c r="AN49" s="437" t="str">
        <f t="shared" si="1"/>
        <v>Добавить группу потребителей</v>
      </c>
      <c r="AO49" s="437"/>
      <c r="AP49" s="437"/>
      <c r="AQ49" s="1074">
        <v>21</v>
      </c>
    </row>
    <row r="50" spans="1:43" ht="21.95" customHeight="1">
      <c r="A50" s="1282" t="s">
        <v>234</v>
      </c>
      <c r="B50" s="1282" t="s">
        <v>235</v>
      </c>
      <c r="C50" s="1282" t="s">
        <v>236</v>
      </c>
      <c r="D50" s="1282" t="s">
        <v>495</v>
      </c>
      <c r="E50" s="2484"/>
      <c r="F50" s="2484"/>
      <c r="G50" s="2484"/>
      <c r="H50" s="2483"/>
      <c r="I50" s="1282"/>
      <c r="J50" s="1282"/>
      <c r="K50" s="1282"/>
      <c r="L50" s="1283"/>
      <c r="M50" s="1284"/>
      <c r="N50" s="1284"/>
      <c r="O50" s="474"/>
      <c r="P50" s="297"/>
      <c r="Q50" s="312"/>
      <c r="R50" s="292"/>
      <c r="S50" s="1197"/>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74">
        <v>21</v>
      </c>
    </row>
    <row r="51" spans="1:43" s="2245" customFormat="1" ht="0" hidden="1" customHeight="1">
      <c r="A51" s="1262" t="s">
        <v>234</v>
      </c>
      <c r="B51" s="1262" t="s">
        <v>235</v>
      </c>
      <c r="C51" s="1233"/>
      <c r="D51" s="1233"/>
      <c r="E51" s="2484"/>
      <c r="F51" s="2483"/>
      <c r="G51" s="1233"/>
      <c r="H51" s="1233"/>
      <c r="I51" s="1233"/>
      <c r="J51" s="1233"/>
      <c r="K51" s="1233"/>
      <c r="L51" s="1377"/>
      <c r="M51" s="1240"/>
      <c r="N51" s="1240"/>
      <c r="P51" s="1235"/>
      <c r="Q51" s="1236"/>
      <c r="R51" s="1235"/>
      <c r="S51" s="1241"/>
      <c r="T51" s="1244" t="s">
        <v>413</v>
      </c>
      <c r="U51" s="1243"/>
      <c r="V51" s="1243"/>
      <c r="W51" s="1243"/>
      <c r="X51" s="1243"/>
      <c r="Y51" s="1243"/>
      <c r="Z51" s="1243"/>
      <c r="AA51" s="1243"/>
      <c r="AB51" s="1243"/>
      <c r="AC51" s="1243"/>
      <c r="AD51" s="1243"/>
      <c r="AE51" s="1243"/>
      <c r="AF51" s="1243"/>
      <c r="AG51" s="1243"/>
      <c r="AH51" s="1243"/>
      <c r="AI51" s="1243"/>
      <c r="AJ51" s="1243"/>
      <c r="AK51" s="1243"/>
      <c r="AM51" s="720"/>
      <c r="AN51" s="720" t="str">
        <f t="shared" si="1"/>
        <v>Добавить централизованную систему для дифференциации</v>
      </c>
      <c r="AO51" s="720"/>
      <c r="AP51" s="720"/>
      <c r="AQ51" s="455">
        <v>0</v>
      </c>
    </row>
    <row r="52" spans="1:43" s="2245" customFormat="1" ht="0" hidden="1" customHeight="1">
      <c r="A52" s="1262" t="s">
        <v>234</v>
      </c>
      <c r="B52" s="1262"/>
      <c r="C52" s="1262"/>
      <c r="D52" s="1262"/>
      <c r="E52" s="2483"/>
      <c r="F52" s="1262"/>
      <c r="G52" s="1262"/>
      <c r="H52" s="1262"/>
      <c r="I52" s="1262"/>
      <c r="J52" s="1262"/>
      <c r="K52" s="1262"/>
      <c r="L52" s="1265"/>
      <c r="M52" s="1240"/>
      <c r="N52" s="1240"/>
      <c r="O52" s="455"/>
      <c r="P52" s="317"/>
      <c r="Q52" s="1263"/>
      <c r="R52" s="317"/>
      <c r="S52" s="1241"/>
      <c r="T52" s="1244" t="s">
        <v>414</v>
      </c>
      <c r="U52" s="1243"/>
      <c r="V52" s="1243"/>
      <c r="W52" s="1243"/>
      <c r="X52" s="1243"/>
      <c r="Y52" s="1243"/>
      <c r="Z52" s="1243"/>
      <c r="AA52" s="1243"/>
      <c r="AB52" s="1243"/>
      <c r="AC52" s="1243"/>
      <c r="AD52" s="1243"/>
      <c r="AE52" s="1243"/>
      <c r="AF52" s="1243"/>
      <c r="AG52" s="1243"/>
      <c r="AH52" s="1243"/>
      <c r="AI52" s="1243"/>
      <c r="AJ52" s="1243"/>
      <c r="AK52" s="1243"/>
      <c r="AM52" s="437"/>
      <c r="AN52" s="437" t="str">
        <f t="shared" si="1"/>
        <v>Добавить территорию для дифференциации</v>
      </c>
      <c r="AO52" s="437"/>
      <c r="AP52" s="437"/>
      <c r="AQ52" s="448">
        <v>0</v>
      </c>
    </row>
    <row r="53" spans="1:43" s="2245"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446</v>
      </c>
      <c r="U53" s="1243"/>
      <c r="V53" s="1243"/>
      <c r="W53" s="1243"/>
      <c r="X53" s="1243"/>
      <c r="Y53" s="1243"/>
      <c r="Z53" s="1243"/>
      <c r="AA53" s="1243"/>
      <c r="AB53" s="1243"/>
      <c r="AC53" s="1243"/>
      <c r="AD53" s="1243"/>
      <c r="AE53" s="1243"/>
      <c r="AF53" s="1243"/>
      <c r="AG53" s="1243"/>
      <c r="AH53" s="1243"/>
      <c r="AI53" s="1243"/>
      <c r="AJ53" s="1243"/>
      <c r="AK53" s="1243"/>
      <c r="AM53" s="720"/>
      <c r="AN53" s="720" t="str">
        <f t="shared" si="1"/>
        <v>Добавить наименование тарифа</v>
      </c>
      <c r="AO53" s="720"/>
      <c r="AP53" s="720"/>
      <c r="AQ53" s="455">
        <v>0</v>
      </c>
    </row>
    <row r="54" spans="1:43" ht="11.45" customHeight="1">
      <c r="M54" s="1079"/>
      <c r="N54" s="1079"/>
      <c r="O54" s="474"/>
      <c r="P54" s="1074"/>
      <c r="Q54" s="1074"/>
      <c r="R54" s="1074"/>
      <c r="S54" s="1074"/>
      <c r="AL54" s="1074"/>
      <c r="AM54" s="1074"/>
      <c r="AN54" s="1074"/>
      <c r="AO54" s="1074"/>
      <c r="AP54" s="1074"/>
      <c r="AQ54" s="1074">
        <v>11</v>
      </c>
    </row>
    <row r="55" spans="1:43" ht="14.65" customHeight="1">
      <c r="O55" s="474"/>
      <c r="S55" s="1172"/>
      <c r="T55" s="2503"/>
      <c r="U55" s="2503"/>
      <c r="V55" s="2503"/>
      <c r="W55" s="2503"/>
      <c r="X55" s="2503"/>
      <c r="Y55" s="2503"/>
      <c r="Z55" s="2503"/>
      <c r="AA55" s="2503"/>
      <c r="AB55" s="2503"/>
      <c r="AC55" s="2503"/>
      <c r="AD55" s="2503"/>
      <c r="AE55" s="2503"/>
      <c r="AF55" s="2503"/>
      <c r="AG55" s="2503"/>
      <c r="AH55" s="2503"/>
      <c r="AI55" s="2503"/>
      <c r="AJ55" s="2503"/>
      <c r="AK55" s="2503"/>
      <c r="AQ55" s="1074">
        <v>14</v>
      </c>
    </row>
    <row r="56" spans="1:43" ht="14.65" customHeight="1">
      <c r="O56" s="474"/>
      <c r="AQ56" s="1074">
        <v>14</v>
      </c>
    </row>
    <row r="57" spans="1:43" ht="14.65" customHeight="1">
      <c r="O57" s="474"/>
      <c r="S57" s="1172"/>
      <c r="T57" s="2503"/>
      <c r="U57" s="2503"/>
      <c r="V57" s="2503"/>
      <c r="W57" s="2503"/>
      <c r="X57" s="2503"/>
      <c r="Y57" s="2503"/>
      <c r="Z57" s="2503"/>
      <c r="AA57" s="2503"/>
      <c r="AB57" s="2503"/>
      <c r="AC57" s="2503"/>
      <c r="AD57" s="2503"/>
      <c r="AE57" s="2503"/>
      <c r="AF57" s="2503"/>
      <c r="AG57" s="2503"/>
      <c r="AH57" s="2503"/>
      <c r="AI57" s="2503"/>
      <c r="AJ57" s="2503"/>
      <c r="AK57" s="2503"/>
      <c r="AQ57" s="1074">
        <v>14</v>
      </c>
    </row>
    <row r="58" spans="1:43" ht="22.5" hidden="1" customHeight="1">
      <c r="A58" s="1079" t="s">
        <v>81</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8">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8">
        <v>10</v>
      </c>
      <c r="AM58" s="448">
        <v>10</v>
      </c>
      <c r="AN58" s="448">
        <v>10</v>
      </c>
      <c r="AO58" s="448">
        <v>10</v>
      </c>
      <c r="AP58" s="448">
        <v>10</v>
      </c>
      <c r="AQ58" s="1074">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44" hidden="1"/>
    <col min="2" max="2" width="11" style="2244" hidden="1" customWidth="1"/>
    <col min="3" max="3" width="10.5703125" style="2244" hidden="1"/>
    <col min="4" max="4" width="11.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4.140625" style="2244" hidden="1" customWidth="1"/>
    <col min="10" max="10" width="9.85546875" style="2244" hidden="1" customWidth="1"/>
    <col min="11" max="11" width="14.7109375" style="2244" hidden="1" customWidth="1"/>
    <col min="12" max="12" width="19.140625" style="2270" hidden="1" customWidth="1"/>
    <col min="13" max="14" width="12.28515625" style="2271" hidden="1" customWidth="1"/>
    <col min="15" max="15" width="23.42578125" style="2271" hidden="1" customWidth="1"/>
    <col min="16" max="16" width="3" style="2272" customWidth="1"/>
    <col min="17" max="18" width="3" style="2273" customWidth="1"/>
    <col min="19" max="19" width="12" style="2274" customWidth="1"/>
    <col min="20" max="20" width="35" style="2238" customWidth="1"/>
    <col min="21" max="21" width="0.140625" style="2238" customWidth="1"/>
    <col min="22" max="24" width="24.7109375" style="2238" hidden="1" customWidth="1"/>
    <col min="25" max="25" width="11.7109375" style="2238" hidden="1" customWidth="1"/>
    <col min="26" max="26" width="3.7109375" style="2238" hidden="1" customWidth="1"/>
    <col min="27" max="27" width="11.7109375" style="2238" hidden="1" customWidth="1"/>
    <col min="28" max="28" width="8.5703125" style="2238" hidden="1" customWidth="1"/>
    <col min="29" max="29" width="24.7109375" style="2238" customWidth="1"/>
    <col min="30" max="31" width="24" style="2238" customWidth="1"/>
    <col min="32" max="32" width="11" style="2238" customWidth="1"/>
    <col min="33" max="33" width="3.7109375" style="2238" customWidth="1"/>
    <col min="34" max="34" width="11" style="2238" customWidth="1"/>
    <col min="35" max="35" width="8.5703125" style="2238" hidden="1" customWidth="1"/>
    <col min="36" max="36" width="4" style="2238" customWidth="1"/>
    <col min="37" max="37" width="115" style="2238" customWidth="1"/>
    <col min="38" max="42" width="10" style="2245" customWidth="1"/>
    <col min="43" max="43" width="10.5703125" style="2238" hidden="1"/>
  </cols>
  <sheetData>
    <row r="1" spans="1:43" ht="22.5" hidden="1" customHeight="1">
      <c r="X1" s="264"/>
      <c r="Y1" s="264"/>
      <c r="AE1" s="264"/>
      <c r="AF1" s="264"/>
      <c r="AQ1" s="1074" t="s">
        <v>14</v>
      </c>
    </row>
    <row r="2" spans="1:43" ht="23.25" hidden="1" customHeight="1">
      <c r="A2" s="1282"/>
      <c r="B2" s="1282"/>
      <c r="C2" s="1282"/>
      <c r="D2" s="1282"/>
      <c r="E2" s="2483">
        <v>1</v>
      </c>
      <c r="F2" s="1282"/>
      <c r="G2" s="1282"/>
      <c r="H2" s="1282"/>
      <c r="I2" s="1282"/>
      <c r="J2" s="1282"/>
      <c r="K2" s="1282"/>
      <c r="L2" s="1283"/>
      <c r="M2" s="1284"/>
      <c r="N2" s="1284"/>
      <c r="O2" s="1284"/>
      <c r="P2" s="298"/>
      <c r="Q2" s="297"/>
      <c r="R2" s="292"/>
      <c r="S2" s="1376" t="e">
        <f>INDEX(PT_DIFFERENTIATION_NUM_NTAR,MATCH(A2,PT_DIFFERENTIATION_NTAR_ID,0))</f>
        <v>#N/A</v>
      </c>
      <c r="T2" s="235" t="s">
        <v>123</v>
      </c>
      <c r="U2" s="237"/>
      <c r="V2" s="2469"/>
      <c r="W2" s="2470"/>
      <c r="X2" s="2470"/>
      <c r="Y2" s="2470"/>
      <c r="Z2" s="2470"/>
      <c r="AA2" s="2470"/>
      <c r="AB2" s="2471"/>
      <c r="AC2" s="2469" t="e">
        <f>INDEX(PT_DIFFERENTIATION_NTAR,MATCH(A2,PT_DIFFERENTIATION_NTAR_ID,0))</f>
        <v>#N/A</v>
      </c>
      <c r="AD2" s="2470"/>
      <c r="AE2" s="2470"/>
      <c r="AF2" s="2470"/>
      <c r="AG2" s="2470"/>
      <c r="AH2" s="2470"/>
      <c r="AI2" s="2470"/>
      <c r="AJ2" s="2471"/>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4">
        <v>0</v>
      </c>
    </row>
    <row r="3" spans="1:43" ht="23.25" hidden="1" customHeight="1">
      <c r="A3" s="1282"/>
      <c r="B3" s="1282"/>
      <c r="C3" s="1282"/>
      <c r="D3" s="1282"/>
      <c r="E3" s="2484"/>
      <c r="F3" s="2483">
        <v>1</v>
      </c>
      <c r="G3" s="1282"/>
      <c r="H3" s="1282"/>
      <c r="I3" s="1282"/>
      <c r="J3" s="1282"/>
      <c r="K3" s="1282"/>
      <c r="L3" s="1283"/>
      <c r="M3" s="1284"/>
      <c r="N3" s="1284"/>
      <c r="O3" s="1284"/>
      <c r="P3" s="1372"/>
      <c r="Q3" s="289"/>
      <c r="R3" s="290"/>
      <c r="S3" s="1376" t="e">
        <f>INDEX(PT_DIFFERENTIATION_NUM_TER,MATCH(B3,PT_DIFFERENTIATION_TER_ID,0))</f>
        <v>#N/A</v>
      </c>
      <c r="T3" s="245" t="s">
        <v>395</v>
      </c>
      <c r="U3" s="237"/>
      <c r="V3" s="2469"/>
      <c r="W3" s="2470"/>
      <c r="X3" s="2470"/>
      <c r="Y3" s="2470"/>
      <c r="Z3" s="2470"/>
      <c r="AA3" s="2470"/>
      <c r="AB3" s="2471"/>
      <c r="AC3" s="2469" t="e">
        <f>INDEX(PT_DIFFERENTIATION_TER,MATCH(B3,PT_DIFFERENTIATION_TER_ID,0))</f>
        <v>#N/A</v>
      </c>
      <c r="AD3" s="2470"/>
      <c r="AE3" s="2470"/>
      <c r="AF3" s="2470"/>
      <c r="AG3" s="2470"/>
      <c r="AH3" s="2470"/>
      <c r="AI3" s="2470"/>
      <c r="AJ3" s="2471"/>
      <c r="AK3" s="1177" t="s">
        <v>396</v>
      </c>
      <c r="AM3" s="437"/>
      <c r="AN3" s="437" t="str">
        <f t="shared" si="0"/>
        <v>Территория действия тарифа</v>
      </c>
      <c r="AO3" s="437"/>
      <c r="AP3" s="437"/>
      <c r="AQ3" s="1074">
        <v>0</v>
      </c>
    </row>
    <row r="4" spans="1:43" ht="23.25" hidden="1" customHeight="1">
      <c r="A4" s="1282"/>
      <c r="B4" s="1282"/>
      <c r="C4" s="1282"/>
      <c r="D4" s="1282"/>
      <c r="E4" s="2484"/>
      <c r="F4" s="2484"/>
      <c r="G4" s="2483">
        <v>1</v>
      </c>
      <c r="H4" s="1282"/>
      <c r="I4" s="1282"/>
      <c r="J4" s="1282"/>
      <c r="K4" s="1282"/>
      <c r="L4" s="1283"/>
      <c r="M4" s="1284"/>
      <c r="N4" s="1284"/>
      <c r="O4" s="1284"/>
      <c r="P4" s="291"/>
      <c r="Q4" s="289"/>
      <c r="R4" s="290"/>
      <c r="S4" s="1376" t="e">
        <f>INDEX(PT_DIFFERENTIATION_NUM_CS,MATCH(C4,PT_DIFFERENTIATION_CS_ID,0))</f>
        <v>#N/A</v>
      </c>
      <c r="T4" s="246" t="s">
        <v>479</v>
      </c>
      <c r="U4" s="237"/>
      <c r="V4" s="2469"/>
      <c r="W4" s="2470"/>
      <c r="X4" s="2470"/>
      <c r="Y4" s="2470"/>
      <c r="Z4" s="2470"/>
      <c r="AA4" s="2470"/>
      <c r="AB4" s="2471"/>
      <c r="AC4" s="2469" t="e">
        <f>INDEX(PT_DIFFERENTIATION_CS,MATCH(C4,PT_DIFFERENTIATION_CS_ID,0))</f>
        <v>#N/A</v>
      </c>
      <c r="AD4" s="2470"/>
      <c r="AE4" s="2470"/>
      <c r="AF4" s="2470"/>
      <c r="AG4" s="2470"/>
      <c r="AH4" s="2470"/>
      <c r="AI4" s="2470"/>
      <c r="AJ4" s="2471"/>
      <c r="AK4" s="1177" t="s">
        <v>480</v>
      </c>
      <c r="AM4" s="437"/>
      <c r="AN4" s="437" t="str">
        <f t="shared" si="0"/>
        <v>Наименование централизованной системы холодного водоснабжения</v>
      </c>
      <c r="AO4" s="437"/>
      <c r="AP4" s="437"/>
      <c r="AQ4" s="1074">
        <v>0</v>
      </c>
    </row>
    <row r="5" spans="1:43" ht="23.25" hidden="1" customHeight="1">
      <c r="A5" s="1282"/>
      <c r="B5" s="1282"/>
      <c r="C5" s="1282"/>
      <c r="D5" s="1282"/>
      <c r="E5" s="2484"/>
      <c r="F5" s="2484"/>
      <c r="G5" s="2484"/>
      <c r="H5" s="2484"/>
      <c r="I5" s="2481" t="e">
        <f>S4&amp;".1"</f>
        <v>#N/A</v>
      </c>
      <c r="J5" s="1282"/>
      <c r="K5" s="1282"/>
      <c r="L5" s="1283"/>
      <c r="P5" s="2482">
        <v>1</v>
      </c>
      <c r="Q5" s="1369"/>
      <c r="R5" s="293"/>
      <c r="S5" s="1376" t="e">
        <f>$I5</f>
        <v>#N/A</v>
      </c>
      <c r="T5" s="222" t="s">
        <v>481</v>
      </c>
      <c r="U5" s="237"/>
      <c r="V5" s="2550"/>
      <c r="W5" s="2551"/>
      <c r="X5" s="2551"/>
      <c r="Y5" s="2551"/>
      <c r="Z5" s="2551"/>
      <c r="AA5" s="2551"/>
      <c r="AB5" s="2552"/>
      <c r="AC5" s="2553"/>
      <c r="AD5" s="2554"/>
      <c r="AE5" s="2554"/>
      <c r="AF5" s="2554"/>
      <c r="AG5" s="2554"/>
      <c r="AH5" s="2554"/>
      <c r="AI5" s="2554"/>
      <c r="AJ5" s="2555"/>
      <c r="AK5" s="1177" t="s">
        <v>482</v>
      </c>
      <c r="AM5" s="437"/>
      <c r="AN5" s="437" t="str">
        <f t="shared" si="0"/>
        <v>Наименование признака дифференциации</v>
      </c>
      <c r="AO5" s="437"/>
      <c r="AP5" s="437"/>
      <c r="AQ5" s="1074">
        <v>0</v>
      </c>
    </row>
    <row r="6" spans="1:43" ht="23.25" hidden="1" customHeight="1">
      <c r="A6" s="1282"/>
      <c r="B6" s="1282"/>
      <c r="C6" s="1282"/>
      <c r="D6" s="1282"/>
      <c r="E6" s="2484"/>
      <c r="F6" s="2484"/>
      <c r="G6" s="2484"/>
      <c r="H6" s="2484"/>
      <c r="I6" s="2504"/>
      <c r="J6" s="2481" t="e">
        <f>I5&amp;".1"</f>
        <v>#N/A</v>
      </c>
      <c r="K6" s="1282"/>
      <c r="L6" s="1283" t="s">
        <v>404</v>
      </c>
      <c r="P6" s="2482"/>
      <c r="Q6" s="2482">
        <v>1</v>
      </c>
      <c r="R6" s="294"/>
      <c r="S6" s="1376" t="e">
        <f>$J6</f>
        <v>#N/A</v>
      </c>
      <c r="T6" s="223" t="s">
        <v>405</v>
      </c>
      <c r="U6" s="237"/>
      <c r="V6" s="2472"/>
      <c r="W6" s="2473"/>
      <c r="X6" s="2473"/>
      <c r="Y6" s="2473"/>
      <c r="Z6" s="2473"/>
      <c r="AA6" s="2473"/>
      <c r="AB6" s="2474"/>
      <c r="AC6" s="2472"/>
      <c r="AD6" s="2473"/>
      <c r="AE6" s="2473"/>
      <c r="AF6" s="2473"/>
      <c r="AG6" s="2473"/>
      <c r="AH6" s="2473"/>
      <c r="AI6" s="2473"/>
      <c r="AJ6" s="2474"/>
      <c r="AK6" s="1226" t="s">
        <v>483</v>
      </c>
      <c r="AM6" s="437"/>
      <c r="AN6" s="437" t="str">
        <f t="shared" si="0"/>
        <v>Группа потребителей</v>
      </c>
      <c r="AO6" s="437"/>
      <c r="AP6" s="437"/>
      <c r="AQ6" s="1074">
        <v>0</v>
      </c>
    </row>
    <row r="7" spans="1:43" ht="23.25" hidden="1" customHeight="1">
      <c r="A7" s="1282"/>
      <c r="B7" s="1282"/>
      <c r="C7" s="1282"/>
      <c r="D7" s="1282"/>
      <c r="E7" s="2484"/>
      <c r="F7" s="2484"/>
      <c r="G7" s="2484"/>
      <c r="H7" s="2484"/>
      <c r="I7" s="2504"/>
      <c r="J7" s="2504"/>
      <c r="K7" s="2481" t="e">
        <f>J6&amp;".1"</f>
        <v>#N/A</v>
      </c>
      <c r="L7" s="1283"/>
      <c r="P7" s="2482"/>
      <c r="Q7" s="2482"/>
      <c r="R7" s="294">
        <v>1</v>
      </c>
      <c r="S7" s="1376" t="e">
        <f>$K7</f>
        <v>#N/A</v>
      </c>
      <c r="T7" s="1356"/>
      <c r="U7" s="237"/>
      <c r="V7" s="688"/>
      <c r="W7" s="688"/>
      <c r="X7" s="1176"/>
      <c r="Y7" s="2486"/>
      <c r="Z7" s="2344" t="s">
        <v>64</v>
      </c>
      <c r="AA7" s="2486"/>
      <c r="AB7" s="2344" t="s">
        <v>64</v>
      </c>
      <c r="AC7" s="688"/>
      <c r="AD7" s="688"/>
      <c r="AE7" s="1176"/>
      <c r="AF7" s="2486"/>
      <c r="AG7" s="2344" t="s">
        <v>64</v>
      </c>
      <c r="AH7" s="2505"/>
      <c r="AI7" s="2344" t="s">
        <v>64</v>
      </c>
      <c r="AJ7" s="1357"/>
      <c r="AK7" s="25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4">
        <v>0</v>
      </c>
    </row>
    <row r="8" spans="1:43" ht="14.25" hidden="1" customHeight="1">
      <c r="A8" s="1282"/>
      <c r="B8" s="1282"/>
      <c r="C8" s="1282"/>
      <c r="D8" s="1282"/>
      <c r="E8" s="2484"/>
      <c r="F8" s="2484"/>
      <c r="G8" s="2484"/>
      <c r="H8" s="2484"/>
      <c r="I8" s="2504"/>
      <c r="J8" s="2504"/>
      <c r="K8" s="2481"/>
      <c r="L8" s="1283"/>
      <c r="P8" s="2482"/>
      <c r="Q8" s="2482"/>
      <c r="R8" s="294"/>
      <c r="S8" s="1375"/>
      <c r="T8" s="237"/>
      <c r="U8" s="237"/>
      <c r="V8" s="262"/>
      <c r="W8" s="262"/>
      <c r="X8" s="265" t="str">
        <f>Y7&amp;"-"&amp;AA7</f>
        <v>-</v>
      </c>
      <c r="Y8" s="2487"/>
      <c r="Z8" s="2344"/>
      <c r="AA8" s="2487"/>
      <c r="AB8" s="2344"/>
      <c r="AC8" s="262"/>
      <c r="AD8" s="262"/>
      <c r="AE8" s="265" t="str">
        <f>AF7&amp;"-"&amp;AH7</f>
        <v>-</v>
      </c>
      <c r="AF8" s="2487"/>
      <c r="AG8" s="2344"/>
      <c r="AH8" s="2506"/>
      <c r="AI8" s="2344"/>
      <c r="AJ8" s="1358"/>
      <c r="AK8" s="2549"/>
      <c r="AM8" s="437"/>
      <c r="AN8" s="437" t="str">
        <f t="shared" si="0"/>
        <v/>
      </c>
      <c r="AO8" s="437"/>
      <c r="AP8" s="437"/>
      <c r="AQ8" s="1074">
        <v>0</v>
      </c>
    </row>
    <row r="9" spans="1:43" ht="21" hidden="1" customHeight="1">
      <c r="A9" s="1282"/>
      <c r="B9" s="1282"/>
      <c r="C9" s="1282"/>
      <c r="D9" s="1282"/>
      <c r="E9" s="2484"/>
      <c r="F9" s="2484"/>
      <c r="G9" s="2484"/>
      <c r="H9" s="2484"/>
      <c r="I9" s="2504"/>
      <c r="J9" s="2481"/>
      <c r="K9" s="1282"/>
      <c r="L9" s="1283"/>
      <c r="P9" s="2482"/>
      <c r="Q9" s="2482"/>
      <c r="R9" s="293"/>
      <c r="S9" s="1197"/>
      <c r="T9" s="224" t="s">
        <v>484</v>
      </c>
      <c r="U9" s="304"/>
      <c r="V9" s="304"/>
      <c r="W9" s="304"/>
      <c r="X9" s="304"/>
      <c r="Y9" s="304"/>
      <c r="Z9" s="304"/>
      <c r="AA9" s="304"/>
      <c r="AB9" s="304"/>
      <c r="AC9" s="304"/>
      <c r="AD9" s="304"/>
      <c r="AE9" s="304"/>
      <c r="AF9" s="304"/>
      <c r="AG9" s="304"/>
      <c r="AH9" s="304"/>
      <c r="AI9" s="304"/>
      <c r="AJ9" s="304"/>
      <c r="AK9" s="1177" t="s">
        <v>485</v>
      </c>
      <c r="AM9" s="437"/>
      <c r="AN9" s="437" t="str">
        <f t="shared" si="0"/>
        <v>Добавить значение признака дифференциации</v>
      </c>
      <c r="AO9" s="437"/>
      <c r="AP9" s="437"/>
      <c r="AQ9" s="1074">
        <v>0</v>
      </c>
    </row>
    <row r="10" spans="1:43" ht="21" hidden="1" customHeight="1">
      <c r="A10" s="1282"/>
      <c r="B10" s="1282"/>
      <c r="C10" s="1282"/>
      <c r="D10" s="1282"/>
      <c r="E10" s="2484"/>
      <c r="F10" s="2484"/>
      <c r="G10" s="2484"/>
      <c r="H10" s="2484"/>
      <c r="I10" s="2481"/>
      <c r="J10" s="1282"/>
      <c r="K10" s="1282"/>
      <c r="L10" s="1283"/>
      <c r="P10" s="2482"/>
      <c r="Q10" s="1369"/>
      <c r="R10" s="293"/>
      <c r="S10" s="1197"/>
      <c r="T10" s="302" t="s">
        <v>410</v>
      </c>
      <c r="U10" s="304"/>
      <c r="V10" s="304"/>
      <c r="W10" s="304"/>
      <c r="X10" s="304"/>
      <c r="Y10" s="304"/>
      <c r="Z10" s="304"/>
      <c r="AA10" s="304"/>
      <c r="AB10" s="303"/>
      <c r="AC10" s="304"/>
      <c r="AD10" s="304"/>
      <c r="AE10" s="304"/>
      <c r="AF10" s="304"/>
      <c r="AG10" s="304"/>
      <c r="AH10" s="304"/>
      <c r="AI10" s="303"/>
      <c r="AJ10" s="304"/>
      <c r="AK10" s="1359"/>
      <c r="AM10" s="437"/>
      <c r="AN10" s="437" t="str">
        <f t="shared" si="0"/>
        <v>Добавить группу потребителей</v>
      </c>
      <c r="AO10" s="437"/>
      <c r="AP10" s="437"/>
      <c r="AQ10" s="1074">
        <v>0</v>
      </c>
    </row>
    <row r="11" spans="1:43" ht="21" hidden="1" customHeight="1">
      <c r="A11" s="1282"/>
      <c r="B11" s="1282"/>
      <c r="C11" s="1282"/>
      <c r="D11" s="1282"/>
      <c r="E11" s="2484"/>
      <c r="F11" s="2484"/>
      <c r="G11" s="2484"/>
      <c r="H11" s="2483"/>
      <c r="I11" s="1282"/>
      <c r="J11" s="1282"/>
      <c r="K11" s="1282"/>
      <c r="L11" s="1283"/>
      <c r="M11" s="1284"/>
      <c r="N11" s="1284"/>
      <c r="O11" s="474"/>
      <c r="P11" s="297"/>
      <c r="Q11" s="312"/>
      <c r="R11" s="292"/>
      <c r="S11" s="1197"/>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74">
        <v>0</v>
      </c>
    </row>
    <row r="12" spans="1:43" s="2245" customFormat="1" ht="14.25" hidden="1" customHeight="1">
      <c r="A12" s="1262"/>
      <c r="B12" s="1262"/>
      <c r="C12" s="1233"/>
      <c r="D12" s="1233"/>
      <c r="E12" s="2484"/>
      <c r="F12" s="2483"/>
      <c r="G12" s="1233"/>
      <c r="H12" s="1233"/>
      <c r="I12" s="1233"/>
      <c r="J12" s="1233"/>
      <c r="K12" s="1233"/>
      <c r="L12" s="1377"/>
      <c r="M12" s="1240"/>
      <c r="N12" s="1240"/>
      <c r="P12" s="1235"/>
      <c r="Q12" s="1236"/>
      <c r="R12" s="1235"/>
      <c r="S12" s="1241"/>
      <c r="T12" s="1244" t="s">
        <v>413</v>
      </c>
      <c r="U12" s="1243"/>
      <c r="V12" s="1243"/>
      <c r="W12" s="1243"/>
      <c r="X12" s="1243"/>
      <c r="Y12" s="1243"/>
      <c r="Z12" s="1243"/>
      <c r="AA12" s="1243"/>
      <c r="AB12" s="1243"/>
      <c r="AC12" s="1243"/>
      <c r="AD12" s="1243"/>
      <c r="AE12" s="1243"/>
      <c r="AF12" s="1243"/>
      <c r="AG12" s="1243"/>
      <c r="AH12" s="1243"/>
      <c r="AI12" s="1243"/>
      <c r="AJ12" s="1243"/>
      <c r="AK12" s="1243"/>
      <c r="AM12" s="720"/>
      <c r="AN12" s="720" t="str">
        <f t="shared" si="0"/>
        <v>Добавить централизованную систему для дифференциации</v>
      </c>
      <c r="AO12" s="720"/>
      <c r="AP12" s="720"/>
      <c r="AQ12" s="455">
        <v>0</v>
      </c>
    </row>
    <row r="13" spans="1:43" s="2245" customFormat="1" ht="14.25" hidden="1" customHeight="1">
      <c r="A13" s="1262"/>
      <c r="B13" s="1262"/>
      <c r="C13" s="1262"/>
      <c r="D13" s="1262"/>
      <c r="E13" s="2483"/>
      <c r="F13" s="1262"/>
      <c r="G13" s="1262"/>
      <c r="H13" s="1262"/>
      <c r="I13" s="1262"/>
      <c r="J13" s="1262"/>
      <c r="K13" s="1262"/>
      <c r="L13" s="1265"/>
      <c r="M13" s="1240"/>
      <c r="N13" s="1240"/>
      <c r="O13" s="455"/>
      <c r="P13" s="317"/>
      <c r="Q13" s="1263"/>
      <c r="R13" s="317"/>
      <c r="S13" s="1241"/>
      <c r="T13" s="1244" t="s">
        <v>414</v>
      </c>
      <c r="U13" s="1243"/>
      <c r="V13" s="1243"/>
      <c r="W13" s="1243"/>
      <c r="X13" s="1243"/>
      <c r="Y13" s="1243"/>
      <c r="Z13" s="1243"/>
      <c r="AA13" s="1243"/>
      <c r="AB13" s="1243"/>
      <c r="AC13" s="1243"/>
      <c r="AD13" s="1243"/>
      <c r="AE13" s="1243"/>
      <c r="AF13" s="1243"/>
      <c r="AG13" s="1243"/>
      <c r="AH13" s="1243"/>
      <c r="AI13" s="1243"/>
      <c r="AJ13" s="1243"/>
      <c r="AK13" s="1243"/>
      <c r="AM13" s="437"/>
      <c r="AN13" s="437" t="str">
        <f t="shared" si="0"/>
        <v>Добавить территорию для дифференциации</v>
      </c>
      <c r="AO13" s="437"/>
      <c r="AP13" s="437"/>
      <c r="AQ13" s="448">
        <v>0</v>
      </c>
    </row>
    <row r="14" spans="1:43" ht="14.25" hidden="1" customHeight="1">
      <c r="AB14" s="264"/>
      <c r="AI14" s="264"/>
      <c r="AQ14" s="1074">
        <v>0</v>
      </c>
    </row>
    <row r="15" spans="1:43" ht="14.25" hidden="1" customHeight="1">
      <c r="AC15" s="1279"/>
      <c r="AD15" s="1279"/>
      <c r="AE15" s="1280"/>
      <c r="AF15" s="2488"/>
      <c r="AG15" s="2489" t="s">
        <v>64</v>
      </c>
      <c r="AH15" s="2488"/>
      <c r="AI15" s="2489" t="s">
        <v>64</v>
      </c>
      <c r="AQ15" s="1074">
        <v>0</v>
      </c>
    </row>
    <row r="16" spans="1:43" ht="14.25" hidden="1" customHeight="1">
      <c r="AC16" s="1279"/>
      <c r="AD16" s="1279"/>
      <c r="AE16" s="265" t="str">
        <f>AF15&amp;"-"&amp;AH15</f>
        <v>-</v>
      </c>
      <c r="AF16" s="2489"/>
      <c r="AG16" s="2489"/>
      <c r="AH16" s="2489"/>
      <c r="AI16" s="2489"/>
      <c r="AQ16" s="1074">
        <v>0</v>
      </c>
    </row>
    <row r="17" spans="1:43" ht="14.25" hidden="1" customHeight="1">
      <c r="AI17" s="264"/>
      <c r="AQ17" s="1074">
        <v>0</v>
      </c>
    </row>
    <row r="18" spans="1:43" s="2244" customFormat="1" ht="22.5" hidden="1" customHeight="1">
      <c r="L18" s="1366"/>
      <c r="M18" s="1281"/>
      <c r="N18" s="1281"/>
      <c r="O18" s="1286" t="s">
        <v>415</v>
      </c>
      <c r="P18" s="1281"/>
      <c r="Q18" s="1290"/>
      <c r="R18" s="1290"/>
      <c r="S18" s="666"/>
      <c r="Y18" s="1286"/>
      <c r="AA18" s="1286"/>
      <c r="AB18" s="1285"/>
      <c r="AF18" s="1286"/>
      <c r="AH18" s="1286"/>
      <c r="AI18" s="1285"/>
      <c r="AL18" s="448"/>
      <c r="AM18" s="448"/>
      <c r="AN18" s="448"/>
      <c r="AO18" s="448"/>
      <c r="AP18" s="448"/>
      <c r="AQ18" s="1079">
        <v>0</v>
      </c>
    </row>
    <row r="19" spans="1:43" s="2244" customFormat="1" ht="14.25" hidden="1" customHeight="1">
      <c r="L19" s="1366"/>
      <c r="M19" s="1281"/>
      <c r="N19" s="1281"/>
      <c r="O19" s="1281"/>
      <c r="P19" s="1281"/>
      <c r="Q19" s="1290"/>
      <c r="R19" s="1290"/>
      <c r="S19" s="666"/>
      <c r="AB19" s="1285"/>
      <c r="AI19" s="1285"/>
      <c r="AL19" s="448"/>
      <c r="AM19" s="448"/>
      <c r="AN19" s="448"/>
      <c r="AO19" s="448"/>
      <c r="AP19" s="448"/>
      <c r="AQ19" s="1079">
        <v>0</v>
      </c>
    </row>
    <row r="20" spans="1:43" s="2244" customFormat="1" ht="12" hidden="1" customHeight="1">
      <c r="L20" s="1366"/>
      <c r="M20" s="1281"/>
      <c r="N20" s="1281"/>
      <c r="O20" s="1283" t="s">
        <v>416</v>
      </c>
      <c r="P20" s="1281"/>
      <c r="Q20" s="1361"/>
      <c r="R20" s="1361"/>
      <c r="S20" s="666"/>
      <c r="T20" s="1079" t="s">
        <v>417</v>
      </c>
      <c r="Z20" s="123" t="s">
        <v>418</v>
      </c>
      <c r="AB20" s="123" t="s">
        <v>419</v>
      </c>
      <c r="AC20" s="1079" t="s">
        <v>417</v>
      </c>
      <c r="AG20" s="123" t="s">
        <v>420</v>
      </c>
      <c r="AI20" s="123" t="s">
        <v>419</v>
      </c>
      <c r="AQ20" s="1079">
        <v>0</v>
      </c>
    </row>
    <row r="21" spans="1:43" ht="14.25" hidden="1" customHeight="1">
      <c r="O21" s="1283"/>
      <c r="AQ21" s="1074">
        <v>0</v>
      </c>
    </row>
    <row r="22" spans="1:43" ht="14.25" hidden="1" customHeight="1">
      <c r="O22" s="1283"/>
      <c r="AQ22" s="1074">
        <v>0</v>
      </c>
    </row>
    <row r="23" spans="1:43" ht="14.65" customHeight="1">
      <c r="Q23" s="313"/>
      <c r="R23" s="313"/>
      <c r="S23" s="1194"/>
      <c r="T23" s="300"/>
      <c r="U23" s="300"/>
      <c r="V23" s="446"/>
      <c r="W23" s="446"/>
      <c r="X23" s="446"/>
      <c r="Y23" s="446"/>
      <c r="Z23" s="446"/>
      <c r="AA23" s="446"/>
      <c r="AB23" s="446"/>
      <c r="AC23" s="446"/>
      <c r="AD23" s="446"/>
      <c r="AE23" s="446"/>
      <c r="AF23" s="446"/>
      <c r="AG23" s="446"/>
      <c r="AH23" s="446"/>
      <c r="AI23" s="446"/>
      <c r="AQ23" s="1074">
        <v>14</v>
      </c>
    </row>
    <row r="24" spans="1:43" ht="14.65" customHeight="1">
      <c r="Q24" s="313"/>
      <c r="R24" s="313"/>
      <c r="S24" s="24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67"/>
      <c r="U24" s="2467"/>
      <c r="V24" s="2467"/>
      <c r="W24" s="2467"/>
      <c r="X24" s="2467"/>
      <c r="Y24" s="2467"/>
      <c r="Z24" s="2467"/>
      <c r="AA24" s="2467"/>
      <c r="AB24" s="2467"/>
      <c r="AC24" s="2467"/>
      <c r="AD24" s="2467"/>
      <c r="AE24" s="2467"/>
      <c r="AF24" s="2467"/>
      <c r="AG24" s="2467"/>
      <c r="AH24" s="2467"/>
      <c r="AI24" s="1162"/>
      <c r="AQ24" s="1074">
        <v>14</v>
      </c>
    </row>
    <row r="25" spans="1:43" ht="14.65" customHeight="1">
      <c r="Q25" s="313"/>
      <c r="R25" s="313"/>
      <c r="S25" s="2412" t="str">
        <f>IF(org=0,"Не определено",org)</f>
        <v>МУП "Водоканал"</v>
      </c>
      <c r="T25" s="2412"/>
      <c r="U25" s="2412"/>
      <c r="V25" s="2412"/>
      <c r="W25" s="2412"/>
      <c r="X25" s="2412"/>
      <c r="Y25" s="2412"/>
      <c r="Z25" s="2412"/>
      <c r="AA25" s="2412"/>
      <c r="AB25" s="2412"/>
      <c r="AC25" s="2412"/>
      <c r="AD25" s="2412"/>
      <c r="AE25" s="2412"/>
      <c r="AF25" s="2412"/>
      <c r="AG25" s="2412"/>
      <c r="AH25" s="2412"/>
      <c r="AI25" s="1162"/>
      <c r="AQ25" s="1074">
        <v>14</v>
      </c>
    </row>
    <row r="26" spans="1:43" ht="14.25" hidden="1" customHeight="1">
      <c r="Q26" s="313"/>
      <c r="R26" s="313"/>
      <c r="S26" s="1194"/>
      <c r="T26" s="300"/>
      <c r="U26" s="300"/>
      <c r="V26" s="259"/>
      <c r="W26" s="259"/>
      <c r="X26" s="259"/>
      <c r="Y26" s="259"/>
      <c r="Z26" s="259"/>
      <c r="AA26" s="259"/>
      <c r="AB26" s="259"/>
      <c r="AC26" s="259"/>
      <c r="AD26" s="259"/>
      <c r="AE26" s="259"/>
      <c r="AF26" s="259"/>
      <c r="AG26" s="259"/>
      <c r="AH26" s="259"/>
      <c r="AI26" s="259"/>
      <c r="AJ26" s="446"/>
      <c r="AQ26" s="1074">
        <v>0</v>
      </c>
    </row>
    <row r="27" spans="1:43" s="2254" customFormat="1" ht="25.5" hidden="1" customHeight="1">
      <c r="A27" s="1287"/>
      <c r="B27" s="1287"/>
      <c r="C27" s="1287"/>
      <c r="D27" s="1287"/>
      <c r="E27" s="1287"/>
      <c r="F27" s="1287"/>
      <c r="G27" s="1287"/>
      <c r="H27" s="1287"/>
      <c r="I27" s="1287"/>
      <c r="J27" s="1287"/>
      <c r="K27" s="1287"/>
      <c r="L27" s="1288"/>
      <c r="M27" s="1287"/>
      <c r="N27" s="1287"/>
      <c r="O27" s="1287"/>
      <c r="S27" s="2475" t="s">
        <v>41</v>
      </c>
      <c r="T27" s="2475"/>
      <c r="U27" s="1291"/>
      <c r="V27" s="2476" t="str">
        <f>IF(TITLE_NAME_OR_PR_CHANGE="",IF(TITLE_NAME_OR_PR="","",TITLE_NAME_OR_PR),TITLE_NAME_OR_PR_CHANGE)</f>
        <v/>
      </c>
      <c r="W27" s="2476"/>
      <c r="X27" s="2476"/>
      <c r="Y27" s="2476"/>
      <c r="Z27" s="2476"/>
      <c r="AA27" s="2476"/>
      <c r="AB27" s="263"/>
      <c r="AC27" s="2476" t="str">
        <f>IF(TITLE_NAME_OR_PR_CHANGE="",IF(TITLE_NAME_OR_PR="","",TITLE_NAME_OR_PR),TITLE_NAME_OR_PR_CHANGE)</f>
        <v/>
      </c>
      <c r="AD27" s="2476"/>
      <c r="AE27" s="2476"/>
      <c r="AF27" s="2476"/>
      <c r="AG27" s="2476"/>
      <c r="AH27" s="2476"/>
      <c r="AI27" s="263"/>
      <c r="AJ27" s="263"/>
      <c r="AK27" s="217"/>
      <c r="AL27" s="305"/>
      <c r="AM27" s="305"/>
      <c r="AN27" s="305"/>
      <c r="AO27" s="305"/>
      <c r="AP27" s="305"/>
      <c r="AQ27" s="355">
        <v>0</v>
      </c>
    </row>
    <row r="28" spans="1:43" s="2254" customFormat="1" ht="18.75" hidden="1" customHeight="1">
      <c r="A28" s="1287"/>
      <c r="B28" s="1287"/>
      <c r="C28" s="1287"/>
      <c r="D28" s="1287"/>
      <c r="E28" s="1287"/>
      <c r="F28" s="1287"/>
      <c r="G28" s="1287"/>
      <c r="H28" s="1287"/>
      <c r="I28" s="1287"/>
      <c r="J28" s="1287"/>
      <c r="K28" s="1287"/>
      <c r="L28" s="1288"/>
      <c r="M28" s="1287"/>
      <c r="N28" s="1287"/>
      <c r="O28" s="1287"/>
      <c r="S28" s="2475" t="s">
        <v>421</v>
      </c>
      <c r="T28" s="2475"/>
      <c r="U28" s="1291"/>
      <c r="V28" s="2485" t="str">
        <f>IF(TITLE_DATE_PR_CHANGE="",IF(TITLE_DATE_PR="","",TITLE_DATE_PR),TITLE_DATE_PR_CHANGE)</f>
        <v/>
      </c>
      <c r="W28" s="2485"/>
      <c r="X28" s="2485"/>
      <c r="Y28" s="2485"/>
      <c r="Z28" s="2485"/>
      <c r="AA28" s="2485"/>
      <c r="AB28" s="263"/>
      <c r="AC28" s="2485" t="str">
        <f>IF(TITLE_DATE_PR_CHANGE="",IF(TITLE_DATE_PR="","",TITLE_DATE_PR),TITLE_DATE_PR_CHANGE)</f>
        <v/>
      </c>
      <c r="AD28" s="2485"/>
      <c r="AE28" s="2485"/>
      <c r="AF28" s="2485"/>
      <c r="AG28" s="2485"/>
      <c r="AH28" s="2485"/>
      <c r="AI28" s="263"/>
      <c r="AJ28" s="263"/>
      <c r="AK28" s="217"/>
      <c r="AL28" s="305"/>
      <c r="AM28" s="305"/>
      <c r="AN28" s="305"/>
      <c r="AO28" s="305"/>
      <c r="AP28" s="305"/>
      <c r="AQ28" s="355">
        <v>0</v>
      </c>
    </row>
    <row r="29" spans="1:43" s="2254" customFormat="1" ht="18.75" hidden="1" customHeight="1">
      <c r="A29" s="1287"/>
      <c r="B29" s="1287"/>
      <c r="C29" s="1287"/>
      <c r="D29" s="1287"/>
      <c r="E29" s="1287"/>
      <c r="F29" s="1287"/>
      <c r="G29" s="1287"/>
      <c r="H29" s="1287"/>
      <c r="I29" s="1287"/>
      <c r="J29" s="1287"/>
      <c r="K29" s="1287"/>
      <c r="L29" s="1288"/>
      <c r="M29" s="1287"/>
      <c r="N29" s="1287"/>
      <c r="O29" s="1287"/>
      <c r="S29" s="2475" t="s">
        <v>422</v>
      </c>
      <c r="T29" s="2475"/>
      <c r="U29" s="1291"/>
      <c r="V29" s="2476" t="str">
        <f>IF(TITLE_NUMBER_PR_CHANGE="",IF(TITLE_NUMBER_PR="","",TITLE_NUMBER_PR),TITLE_NUMBER_PR_CHANGE)</f>
        <v/>
      </c>
      <c r="W29" s="2476"/>
      <c r="X29" s="2476"/>
      <c r="Y29" s="2476"/>
      <c r="Z29" s="2476"/>
      <c r="AA29" s="2476"/>
      <c r="AB29" s="263"/>
      <c r="AC29" s="2476" t="str">
        <f>IF(TITLE_NUMBER_PR_CHANGE="",IF(TITLE_NUMBER_PR="","",TITLE_NUMBER_PR),TITLE_NUMBER_PR_CHANGE)</f>
        <v/>
      </c>
      <c r="AD29" s="2476"/>
      <c r="AE29" s="2476"/>
      <c r="AF29" s="2476"/>
      <c r="AG29" s="2476"/>
      <c r="AH29" s="2476"/>
      <c r="AI29" s="263"/>
      <c r="AJ29" s="263"/>
      <c r="AK29" s="217"/>
      <c r="AL29" s="305"/>
      <c r="AM29" s="305"/>
      <c r="AN29" s="305"/>
      <c r="AO29" s="305"/>
      <c r="AP29" s="305"/>
      <c r="AQ29" s="355">
        <v>0</v>
      </c>
    </row>
    <row r="30" spans="1:43" s="2254" customFormat="1" ht="18.75" hidden="1" customHeight="1">
      <c r="A30" s="1287"/>
      <c r="B30" s="1287"/>
      <c r="C30" s="1287"/>
      <c r="D30" s="1287"/>
      <c r="E30" s="1287"/>
      <c r="F30" s="1287"/>
      <c r="G30" s="1287"/>
      <c r="H30" s="1287"/>
      <c r="I30" s="1287"/>
      <c r="J30" s="1287"/>
      <c r="K30" s="1287"/>
      <c r="L30" s="1288"/>
      <c r="M30" s="1287"/>
      <c r="N30" s="1287"/>
      <c r="O30" s="1287"/>
      <c r="S30" s="2475" t="s">
        <v>42</v>
      </c>
      <c r="T30" s="2475"/>
      <c r="U30" s="1291"/>
      <c r="V30" s="2476" t="str">
        <f>IF(TITLE_IST_PUB_CHANGE="",IF(TITLE_IST_PUB="","",TITLE_IST_PUB),TITLE_IST_PUB_CHANGE)</f>
        <v/>
      </c>
      <c r="W30" s="2476"/>
      <c r="X30" s="2476"/>
      <c r="Y30" s="2476"/>
      <c r="Z30" s="2476"/>
      <c r="AA30" s="2476"/>
      <c r="AB30" s="263"/>
      <c r="AC30" s="2476" t="str">
        <f>IF(TITLE_IST_PUB_CHANGE="",IF(TITLE_IST_PUB="","",TITLE_IST_PUB),TITLE_IST_PUB_CHANGE)</f>
        <v/>
      </c>
      <c r="AD30" s="2476"/>
      <c r="AE30" s="2476"/>
      <c r="AF30" s="2476"/>
      <c r="AG30" s="2476"/>
      <c r="AH30" s="2476"/>
      <c r="AI30" s="263"/>
      <c r="AJ30" s="263"/>
      <c r="AK30" s="217"/>
      <c r="AL30" s="305"/>
      <c r="AM30" s="305"/>
      <c r="AN30" s="305"/>
      <c r="AO30" s="305"/>
      <c r="AP30" s="305"/>
      <c r="AQ30" s="355">
        <v>0</v>
      </c>
    </row>
    <row r="31" spans="1:43" ht="14.25" hidden="1" customHeight="1">
      <c r="Q31" s="313"/>
      <c r="R31" s="313"/>
      <c r="S31" s="1194"/>
      <c r="T31" s="300"/>
      <c r="U31" s="300"/>
      <c r="V31" s="259"/>
      <c r="W31" s="259"/>
      <c r="X31" s="259"/>
      <c r="Y31" s="259"/>
      <c r="Z31" s="259"/>
      <c r="AA31" s="259"/>
      <c r="AB31" s="259"/>
      <c r="AC31" s="259"/>
      <c r="AD31" s="259"/>
      <c r="AE31" s="259"/>
      <c r="AF31" s="259"/>
      <c r="AG31" s="259"/>
      <c r="AH31" s="259"/>
      <c r="AI31" s="259"/>
      <c r="AJ31" s="446"/>
      <c r="AQ31" s="1074">
        <v>0</v>
      </c>
    </row>
    <row r="32" spans="1:43" s="2254" customFormat="1" ht="18.75" hidden="1" customHeight="1">
      <c r="A32" s="1287"/>
      <c r="B32" s="1287"/>
      <c r="C32" s="1287"/>
      <c r="D32" s="1287"/>
      <c r="E32" s="1287"/>
      <c r="F32" s="1287"/>
      <c r="G32" s="1287"/>
      <c r="H32" s="1287"/>
      <c r="I32" s="1287"/>
      <c r="J32" s="1287"/>
      <c r="K32" s="1287"/>
      <c r="L32" s="1288"/>
      <c r="M32" s="1287"/>
      <c r="N32" s="1287"/>
      <c r="O32" s="1287"/>
      <c r="S32" s="2475" t="s">
        <v>423</v>
      </c>
      <c r="T32" s="2475"/>
      <c r="U32" s="1291"/>
      <c r="V32" s="2485" t="str">
        <f>IF(TITLE_DATE_PR_CHANGE="",IF(TITLE_DATE_PR="","",TITLE_DATE_PR),TITLE_DATE_PR_CHANGE)</f>
        <v/>
      </c>
      <c r="W32" s="2485"/>
      <c r="X32" s="2485"/>
      <c r="Y32" s="2485"/>
      <c r="Z32" s="2485"/>
      <c r="AA32" s="2485"/>
      <c r="AB32" s="263"/>
      <c r="AC32" s="2485" t="str">
        <f>IF(TITLE_DATE_PR_CHANGE="",IF(TITLE_DATE_PR="","",TITLE_DATE_PR),TITLE_DATE_PR_CHANGE)</f>
        <v/>
      </c>
      <c r="AD32" s="2485"/>
      <c r="AE32" s="2485"/>
      <c r="AF32" s="2485"/>
      <c r="AG32" s="2485"/>
      <c r="AH32" s="2485"/>
      <c r="AI32" s="263"/>
      <c r="AJ32" s="263"/>
      <c r="AK32" s="217"/>
      <c r="AL32" s="305"/>
      <c r="AM32" s="305"/>
      <c r="AN32" s="305"/>
      <c r="AO32" s="305"/>
      <c r="AP32" s="305"/>
      <c r="AQ32" s="355">
        <v>0</v>
      </c>
    </row>
    <row r="33" spans="1:43" s="2254" customFormat="1" ht="18.75" hidden="1" customHeight="1">
      <c r="A33" s="1287"/>
      <c r="B33" s="1287"/>
      <c r="C33" s="1287"/>
      <c r="D33" s="1287"/>
      <c r="E33" s="1287"/>
      <c r="F33" s="1287"/>
      <c r="G33" s="1287"/>
      <c r="H33" s="1287"/>
      <c r="I33" s="1287"/>
      <c r="J33" s="1287"/>
      <c r="K33" s="1287"/>
      <c r="L33" s="1288"/>
      <c r="M33" s="1287"/>
      <c r="N33" s="1287"/>
      <c r="O33" s="1287"/>
      <c r="S33" s="2475" t="s">
        <v>424</v>
      </c>
      <c r="T33" s="2475"/>
      <c r="U33" s="1291"/>
      <c r="V33" s="2476" t="str">
        <f>IF(TITLE_NUMBER_PR_CHANGE="",IF(TITLE_NUMBER_PR="","",TITLE_NUMBER_PR),TITLE_NUMBER_PR_CHANGE)</f>
        <v/>
      </c>
      <c r="W33" s="2476"/>
      <c r="X33" s="2476"/>
      <c r="Y33" s="2476"/>
      <c r="Z33" s="2476"/>
      <c r="AA33" s="2476"/>
      <c r="AB33" s="263"/>
      <c r="AC33" s="2476" t="str">
        <f>IF(TITLE_NUMBER_PR_CHANGE="",IF(TITLE_NUMBER_PR="","",TITLE_NUMBER_PR),TITLE_NUMBER_PR_CHANGE)</f>
        <v/>
      </c>
      <c r="AD33" s="2476"/>
      <c r="AE33" s="2476"/>
      <c r="AF33" s="2476"/>
      <c r="AG33" s="2476"/>
      <c r="AH33" s="2476"/>
      <c r="AI33" s="263"/>
      <c r="AJ33" s="263"/>
      <c r="AK33" s="217"/>
      <c r="AL33" s="305"/>
      <c r="AM33" s="305"/>
      <c r="AN33" s="305"/>
      <c r="AO33" s="305"/>
      <c r="AP33" s="305"/>
      <c r="AQ33" s="355">
        <v>0</v>
      </c>
    </row>
    <row r="34" spans="1:43" s="2254"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194"/>
      <c r="T35" s="300"/>
      <c r="U35" s="1163"/>
      <c r="V35" s="2477"/>
      <c r="W35" s="2477"/>
      <c r="X35" s="2477"/>
      <c r="Y35" s="2477"/>
      <c r="Z35" s="2477"/>
      <c r="AA35" s="2477"/>
      <c r="AB35" s="2477"/>
      <c r="AC35" s="2477"/>
      <c r="AD35" s="2477"/>
      <c r="AE35" s="2477"/>
      <c r="AF35" s="2477"/>
      <c r="AG35" s="2477"/>
      <c r="AH35" s="2477"/>
      <c r="AI35" s="2477"/>
      <c r="AQ35" s="1074">
        <v>14</v>
      </c>
    </row>
    <row r="36" spans="1:43" ht="14.65" customHeight="1">
      <c r="Q36" s="313"/>
      <c r="R36" s="313"/>
      <c r="S36" s="2363" t="s">
        <v>298</v>
      </c>
      <c r="T36" s="2363"/>
      <c r="U36" s="2363"/>
      <c r="V36" s="2363"/>
      <c r="W36" s="2363"/>
      <c r="X36" s="2363"/>
      <c r="Y36" s="2363"/>
      <c r="Z36" s="2363"/>
      <c r="AA36" s="2363"/>
      <c r="AB36" s="2363"/>
      <c r="AC36" s="2363"/>
      <c r="AD36" s="2363"/>
      <c r="AE36" s="2363"/>
      <c r="AF36" s="2363"/>
      <c r="AG36" s="2363"/>
      <c r="AH36" s="2363"/>
      <c r="AI36" s="2363"/>
      <c r="AJ36" s="2363"/>
      <c r="AK36" s="2363" t="s">
        <v>299</v>
      </c>
      <c r="AQ36" s="1074">
        <v>14</v>
      </c>
    </row>
    <row r="37" spans="1:43" ht="14.65" customHeight="1">
      <c r="Q37" s="313"/>
      <c r="R37" s="313"/>
      <c r="S37" s="2491" t="s">
        <v>87</v>
      </c>
      <c r="T37" s="2442" t="s">
        <v>426</v>
      </c>
      <c r="U37" s="238"/>
      <c r="V37" s="2492" t="s">
        <v>427</v>
      </c>
      <c r="W37" s="2493"/>
      <c r="X37" s="2493"/>
      <c r="Y37" s="2493"/>
      <c r="Z37" s="2493"/>
      <c r="AA37" s="2494"/>
      <c r="AB37" s="2495" t="s">
        <v>428</v>
      </c>
      <c r="AC37" s="2492" t="s">
        <v>427</v>
      </c>
      <c r="AD37" s="2493"/>
      <c r="AE37" s="2493"/>
      <c r="AF37" s="2493"/>
      <c r="AG37" s="2493"/>
      <c r="AH37" s="2494"/>
      <c r="AI37" s="2495" t="s">
        <v>429</v>
      </c>
      <c r="AJ37" s="2498" t="s">
        <v>430</v>
      </c>
      <c r="AK37" s="2363"/>
      <c r="AQ37" s="1074">
        <v>14</v>
      </c>
    </row>
    <row r="38" spans="1:43" ht="35.65" customHeight="1">
      <c r="Q38" s="313"/>
      <c r="R38" s="313"/>
      <c r="S38" s="2491"/>
      <c r="T38" s="2442"/>
      <c r="U38" s="955"/>
      <c r="V38" s="1371" t="s">
        <v>487</v>
      </c>
      <c r="W38" s="2335" t="s">
        <v>433</v>
      </c>
      <c r="X38" s="2334"/>
      <c r="Y38" s="2335" t="s">
        <v>434</v>
      </c>
      <c r="Z38" s="2340"/>
      <c r="AA38" s="2334"/>
      <c r="AB38" s="2496"/>
      <c r="AC38" s="1371" t="s">
        <v>487</v>
      </c>
      <c r="AD38" s="2335" t="s">
        <v>433</v>
      </c>
      <c r="AE38" s="2334"/>
      <c r="AF38" s="2335" t="s">
        <v>434</v>
      </c>
      <c r="AG38" s="2340"/>
      <c r="AH38" s="2334"/>
      <c r="AI38" s="2496"/>
      <c r="AJ38" s="2499"/>
      <c r="AK38" s="2363"/>
      <c r="AQ38" s="1074">
        <v>34</v>
      </c>
    </row>
    <row r="39" spans="1:43" ht="35.65" customHeight="1">
      <c r="A39" s="1289"/>
      <c r="B39" s="1289" t="s">
        <v>135</v>
      </c>
      <c r="C39" s="1289" t="s">
        <v>136</v>
      </c>
      <c r="D39" s="1289" t="s">
        <v>137</v>
      </c>
      <c r="E39" s="1283" t="s">
        <v>435</v>
      </c>
      <c r="F39" s="1283" t="s">
        <v>436</v>
      </c>
      <c r="G39" s="1283" t="s">
        <v>437</v>
      </c>
      <c r="H39" s="1283"/>
      <c r="I39" s="1283" t="s">
        <v>488</v>
      </c>
      <c r="J39" s="1283" t="s">
        <v>440</v>
      </c>
      <c r="K39" s="1283" t="s">
        <v>489</v>
      </c>
      <c r="L39" s="1283" t="s">
        <v>416</v>
      </c>
      <c r="Q39" s="313"/>
      <c r="R39" s="313"/>
      <c r="S39" s="2491"/>
      <c r="T39" s="2442"/>
      <c r="U39" s="239"/>
      <c r="V39" s="1371" t="s">
        <v>490</v>
      </c>
      <c r="W39" s="1141" t="s">
        <v>491</v>
      </c>
      <c r="X39" s="1141" t="s">
        <v>492</v>
      </c>
      <c r="Y39" s="1374" t="s">
        <v>444</v>
      </c>
      <c r="Z39" s="2451" t="s">
        <v>445</v>
      </c>
      <c r="AA39" s="2453"/>
      <c r="AB39" s="2497"/>
      <c r="AC39" s="1371" t="s">
        <v>490</v>
      </c>
      <c r="AD39" s="1141" t="s">
        <v>491</v>
      </c>
      <c r="AE39" s="1141" t="s">
        <v>492</v>
      </c>
      <c r="AF39" s="1374" t="s">
        <v>444</v>
      </c>
      <c r="AG39" s="2451" t="s">
        <v>445</v>
      </c>
      <c r="AH39" s="2453"/>
      <c r="AI39" s="2497"/>
      <c r="AJ39" s="2500"/>
      <c r="AK39" s="2363"/>
      <c r="AQ39" s="1074">
        <v>34</v>
      </c>
    </row>
    <row r="40" spans="1:43" s="2269"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108</v>
      </c>
      <c r="T40" s="1174" t="s">
        <v>109</v>
      </c>
      <c r="U40" s="1164" t="str">
        <f ca="1">OFFSET(U40,0,-1)</f>
        <v>2</v>
      </c>
      <c r="V40" s="1370">
        <f ca="1">OFFSET(V40,0,-1)+1</f>
        <v>3</v>
      </c>
      <c r="W40" s="1370">
        <f ca="1">OFFSET(W40,0,-1)+1</f>
        <v>4</v>
      </c>
      <c r="X40" s="1370">
        <f ca="1">OFFSET(X40,0,-1)+1</f>
        <v>5</v>
      </c>
      <c r="Y40" s="1370">
        <f ca="1">OFFSET(Y40,0,-1)+1</f>
        <v>6</v>
      </c>
      <c r="Z40" s="2490">
        <f ca="1">OFFSET(Z40,0,-1)+1</f>
        <v>7</v>
      </c>
      <c r="AA40" s="2490"/>
      <c r="AB40" s="1370">
        <f ca="1">OFFSET(AB40,0,-2)+1</f>
        <v>8</v>
      </c>
      <c r="AC40" s="1370">
        <f ca="1">OFFSET(AC40,0,-1)+1</f>
        <v>9</v>
      </c>
      <c r="AD40" s="1370">
        <f ca="1">OFFSET(AD40,0,-1)+1</f>
        <v>10</v>
      </c>
      <c r="AE40" s="1370">
        <f ca="1">OFFSET(AE40,0,-1)+1</f>
        <v>11</v>
      </c>
      <c r="AF40" s="1370">
        <f ca="1">OFFSET(AF40,0,-1)+1</f>
        <v>12</v>
      </c>
      <c r="AG40" s="2490">
        <f ca="1">OFFSET(AG40,0,-1)+1</f>
        <v>13</v>
      </c>
      <c r="AH40" s="2490"/>
      <c r="AI40" s="1370">
        <f ca="1">OFFSET(AI40,0,-2)+1</f>
        <v>14</v>
      </c>
      <c r="AJ40" s="1164">
        <f ca="1">OFFSET(AJ40,0,-1)</f>
        <v>14</v>
      </c>
      <c r="AK40" s="1370">
        <f ca="1">OFFSET(AK40,0,-1)+1</f>
        <v>15</v>
      </c>
      <c r="AL40" s="448"/>
      <c r="AM40" s="448"/>
      <c r="AN40" s="448"/>
      <c r="AO40" s="448"/>
      <c r="AP40" s="448"/>
      <c r="AQ40" s="433">
        <v>0</v>
      </c>
    </row>
    <row r="41" spans="1:43" ht="24" customHeight="1">
      <c r="A41" s="1282" t="s">
        <v>239</v>
      </c>
      <c r="B41" s="1282"/>
      <c r="C41" s="1282"/>
      <c r="D41" s="1282"/>
      <c r="E41" s="2483">
        <v>1</v>
      </c>
      <c r="F41" s="1282"/>
      <c r="G41" s="1282"/>
      <c r="H41" s="1282"/>
      <c r="I41" s="1282"/>
      <c r="J41" s="1282"/>
      <c r="K41" s="1282"/>
      <c r="L41" s="1283"/>
      <c r="M41" s="1284"/>
      <c r="N41" s="1284"/>
      <c r="O41" s="1284"/>
      <c r="P41" s="298"/>
      <c r="Q41" s="297"/>
      <c r="R41" s="292"/>
      <c r="S41" s="1376">
        <f>INDEX(PT_DIFFERENTIATION_NUM_NTAR,MATCH(A41,PT_DIFFERENTIATION_NTAR_ID,0))</f>
        <v>0</v>
      </c>
      <c r="T41" s="235" t="s">
        <v>123</v>
      </c>
      <c r="U41" s="237"/>
      <c r="V41" s="2469"/>
      <c r="W41" s="2470"/>
      <c r="X41" s="2470"/>
      <c r="Y41" s="2470"/>
      <c r="Z41" s="2470"/>
      <c r="AA41" s="2470"/>
      <c r="AB41" s="2471"/>
      <c r="AC41" s="2469" t="str">
        <f>INDEX(PT_DIFFERENTIATION_NTAR,MATCH(A41,PT_DIFFERENTIATION_NTAR_ID,0))</f>
        <v/>
      </c>
      <c r="AD41" s="2470"/>
      <c r="AE41" s="2470"/>
      <c r="AF41" s="2470"/>
      <c r="AG41" s="2470"/>
      <c r="AH41" s="2470"/>
      <c r="AI41" s="2470"/>
      <c r="AJ41" s="2471"/>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4">
        <v>23</v>
      </c>
    </row>
    <row r="42" spans="1:43" ht="24" customHeight="1">
      <c r="A42" s="1282" t="s">
        <v>239</v>
      </c>
      <c r="B42" s="1282" t="s">
        <v>240</v>
      </c>
      <c r="C42" s="1282"/>
      <c r="D42" s="1282"/>
      <c r="E42" s="2484"/>
      <c r="F42" s="2483">
        <v>1</v>
      </c>
      <c r="G42" s="1282"/>
      <c r="H42" s="1282"/>
      <c r="I42" s="1282"/>
      <c r="J42" s="1282"/>
      <c r="K42" s="1282"/>
      <c r="L42" s="1283"/>
      <c r="M42" s="1284"/>
      <c r="N42" s="1284"/>
      <c r="O42" s="1284"/>
      <c r="P42" s="1372"/>
      <c r="Q42" s="289"/>
      <c r="R42" s="290"/>
      <c r="S42" s="1376" t="str">
        <f>INDEX(PT_DIFFERENTIATION_NUM_TER,MATCH(B42,PT_DIFFERENTIATION_TER_ID,0))</f>
        <v>.</v>
      </c>
      <c r="T42" s="245" t="s">
        <v>395</v>
      </c>
      <c r="U42" s="237"/>
      <c r="V42" s="2469"/>
      <c r="W42" s="2470"/>
      <c r="X42" s="2470"/>
      <c r="Y42" s="2470"/>
      <c r="Z42" s="2470"/>
      <c r="AA42" s="2470"/>
      <c r="AB42" s="2471"/>
      <c r="AC42" s="2469" t="str">
        <f>INDEX(PT_DIFFERENTIATION_TER,MATCH(B42,PT_DIFFERENTIATION_TER_ID,0))</f>
        <v/>
      </c>
      <c r="AD42" s="2470"/>
      <c r="AE42" s="2470"/>
      <c r="AF42" s="2470"/>
      <c r="AG42" s="2470"/>
      <c r="AH42" s="2470"/>
      <c r="AI42" s="2470"/>
      <c r="AJ42" s="2471"/>
      <c r="AK42" s="1177" t="s">
        <v>396</v>
      </c>
      <c r="AM42" s="437"/>
      <c r="AN42" s="437" t="str">
        <f t="shared" si="1"/>
        <v>Территория действия тарифа</v>
      </c>
      <c r="AO42" s="437"/>
      <c r="AP42" s="437"/>
      <c r="AQ42" s="1074">
        <v>23</v>
      </c>
    </row>
    <row r="43" spans="1:43" ht="24" customHeight="1">
      <c r="A43" s="1282" t="s">
        <v>239</v>
      </c>
      <c r="B43" s="1282" t="s">
        <v>240</v>
      </c>
      <c r="C43" s="1282" t="s">
        <v>241</v>
      </c>
      <c r="D43" s="1282"/>
      <c r="E43" s="2484"/>
      <c r="F43" s="2484"/>
      <c r="G43" s="2483">
        <v>1</v>
      </c>
      <c r="H43" s="1282"/>
      <c r="I43" s="1282"/>
      <c r="J43" s="1282"/>
      <c r="K43" s="1282"/>
      <c r="L43" s="1283"/>
      <c r="M43" s="1284"/>
      <c r="N43" s="1284"/>
      <c r="O43" s="1284"/>
      <c r="P43" s="291"/>
      <c r="Q43" s="289"/>
      <c r="R43" s="290"/>
      <c r="S43" s="1376" t="str">
        <f>INDEX(PT_DIFFERENTIATION_NUM_CS,MATCH(C43,PT_DIFFERENTIATION_CS_ID,0))</f>
        <v>..</v>
      </c>
      <c r="T43" s="246" t="s">
        <v>479</v>
      </c>
      <c r="U43" s="237"/>
      <c r="V43" s="2469"/>
      <c r="W43" s="2470"/>
      <c r="X43" s="2470"/>
      <c r="Y43" s="2470"/>
      <c r="Z43" s="2470"/>
      <c r="AA43" s="2470"/>
      <c r="AB43" s="2471"/>
      <c r="AC43" s="2469" t="str">
        <f>INDEX(PT_DIFFERENTIATION_CS,MATCH(C43,PT_DIFFERENTIATION_CS_ID,0))</f>
        <v/>
      </c>
      <c r="AD43" s="2470"/>
      <c r="AE43" s="2470"/>
      <c r="AF43" s="2470"/>
      <c r="AG43" s="2470"/>
      <c r="AH43" s="2470"/>
      <c r="AI43" s="2470"/>
      <c r="AJ43" s="2471"/>
      <c r="AK43" s="1177" t="s">
        <v>480</v>
      </c>
      <c r="AM43" s="437"/>
      <c r="AN43" s="437" t="str">
        <f t="shared" si="1"/>
        <v>Наименование централизованной системы холодного водоснабжения</v>
      </c>
      <c r="AO43" s="437"/>
      <c r="AP43" s="437"/>
      <c r="AQ43" s="1074">
        <v>23</v>
      </c>
    </row>
    <row r="44" spans="1:43" ht="24" customHeight="1">
      <c r="A44" s="1282" t="s">
        <v>239</v>
      </c>
      <c r="B44" s="1282" t="s">
        <v>240</v>
      </c>
      <c r="C44" s="1282" t="s">
        <v>241</v>
      </c>
      <c r="D44" s="1282" t="s">
        <v>496</v>
      </c>
      <c r="E44" s="2484"/>
      <c r="F44" s="2484"/>
      <c r="G44" s="2484"/>
      <c r="H44" s="2484"/>
      <c r="I44" s="2481" t="str">
        <f>S43&amp;".1"</f>
        <v>...1</v>
      </c>
      <c r="J44" s="1282"/>
      <c r="K44" s="1282"/>
      <c r="L44" s="1283"/>
      <c r="P44" s="2482">
        <v>1</v>
      </c>
      <c r="Q44" s="1369"/>
      <c r="R44" s="293"/>
      <c r="S44" s="1376" t="str">
        <f>$I44</f>
        <v>...1</v>
      </c>
      <c r="T44" s="222" t="s">
        <v>481</v>
      </c>
      <c r="U44" s="237"/>
      <c r="V44" s="2550"/>
      <c r="W44" s="2551"/>
      <c r="X44" s="2551"/>
      <c r="Y44" s="2551"/>
      <c r="Z44" s="2551"/>
      <c r="AA44" s="2551"/>
      <c r="AB44" s="2552"/>
      <c r="AC44" s="2553"/>
      <c r="AD44" s="2554"/>
      <c r="AE44" s="2554"/>
      <c r="AF44" s="2554"/>
      <c r="AG44" s="2554"/>
      <c r="AH44" s="2554"/>
      <c r="AI44" s="2554"/>
      <c r="AJ44" s="2555"/>
      <c r="AK44" s="1177" t="s">
        <v>482</v>
      </c>
      <c r="AM44" s="437"/>
      <c r="AN44" s="437" t="str">
        <f t="shared" si="1"/>
        <v>Наименование признака дифференциации</v>
      </c>
      <c r="AO44" s="437"/>
      <c r="AP44" s="437"/>
      <c r="AQ44" s="1074">
        <v>23</v>
      </c>
    </row>
    <row r="45" spans="1:43" ht="24" customHeight="1">
      <c r="A45" s="1282" t="s">
        <v>239</v>
      </c>
      <c r="B45" s="1282" t="s">
        <v>240</v>
      </c>
      <c r="C45" s="1282" t="s">
        <v>241</v>
      </c>
      <c r="D45" s="1282" t="s">
        <v>496</v>
      </c>
      <c r="E45" s="2484"/>
      <c r="F45" s="2484"/>
      <c r="G45" s="2484"/>
      <c r="H45" s="2484"/>
      <c r="I45" s="2504"/>
      <c r="J45" s="2481" t="str">
        <f>I44&amp;".1"</f>
        <v>...1.1</v>
      </c>
      <c r="K45" s="1282"/>
      <c r="L45" s="1283" t="s">
        <v>404</v>
      </c>
      <c r="P45" s="2482"/>
      <c r="Q45" s="2482">
        <v>1</v>
      </c>
      <c r="R45" s="294"/>
      <c r="S45" s="1376" t="str">
        <f>$J45</f>
        <v>...1.1</v>
      </c>
      <c r="T45" s="223" t="s">
        <v>405</v>
      </c>
      <c r="U45" s="237"/>
      <c r="V45" s="2472"/>
      <c r="W45" s="2473"/>
      <c r="X45" s="2473"/>
      <c r="Y45" s="2473"/>
      <c r="Z45" s="2473"/>
      <c r="AA45" s="2473"/>
      <c r="AB45" s="2474"/>
      <c r="AC45" s="2472"/>
      <c r="AD45" s="2473"/>
      <c r="AE45" s="2473"/>
      <c r="AF45" s="2473"/>
      <c r="AG45" s="2473"/>
      <c r="AH45" s="2473"/>
      <c r="AI45" s="2473"/>
      <c r="AJ45" s="2474"/>
      <c r="AK45" s="1226" t="s">
        <v>483</v>
      </c>
      <c r="AM45" s="437"/>
      <c r="AN45" s="437" t="str">
        <f t="shared" si="1"/>
        <v>Группа потребителей</v>
      </c>
      <c r="AO45" s="437"/>
      <c r="AP45" s="437"/>
      <c r="AQ45" s="1074">
        <v>23</v>
      </c>
    </row>
    <row r="46" spans="1:43" ht="24" customHeight="1">
      <c r="A46" s="1282" t="s">
        <v>239</v>
      </c>
      <c r="B46" s="1282" t="s">
        <v>240</v>
      </c>
      <c r="C46" s="1282" t="s">
        <v>241</v>
      </c>
      <c r="D46" s="1282" t="s">
        <v>496</v>
      </c>
      <c r="E46" s="2484"/>
      <c r="F46" s="2484"/>
      <c r="G46" s="2484"/>
      <c r="H46" s="2484"/>
      <c r="I46" s="2504"/>
      <c r="J46" s="2504"/>
      <c r="K46" s="2481" t="str">
        <f>J45&amp;".1"</f>
        <v>...1.1.1</v>
      </c>
      <c r="L46" s="1283"/>
      <c r="P46" s="2482"/>
      <c r="Q46" s="2482"/>
      <c r="R46" s="294">
        <v>1</v>
      </c>
      <c r="S46" s="1376" t="str">
        <f>$K46</f>
        <v>...1.1.1</v>
      </c>
      <c r="T46" s="1356"/>
      <c r="U46" s="237"/>
      <c r="V46" s="688"/>
      <c r="W46" s="688"/>
      <c r="X46" s="1176"/>
      <c r="Y46" s="2486"/>
      <c r="Z46" s="2344" t="s">
        <v>64</v>
      </c>
      <c r="AA46" s="2486"/>
      <c r="AB46" s="2344" t="s">
        <v>64</v>
      </c>
      <c r="AC46" s="688"/>
      <c r="AD46" s="688"/>
      <c r="AE46" s="1176"/>
      <c r="AF46" s="2486"/>
      <c r="AG46" s="2344" t="s">
        <v>64</v>
      </c>
      <c r="AH46" s="2505"/>
      <c r="AI46" s="2344" t="s">
        <v>64</v>
      </c>
      <c r="AJ46" s="1357"/>
      <c r="AK46" s="25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4">
        <v>23</v>
      </c>
    </row>
    <row r="47" spans="1:43" ht="0" hidden="1" customHeight="1">
      <c r="A47" s="1282" t="s">
        <v>239</v>
      </c>
      <c r="B47" s="1282" t="s">
        <v>240</v>
      </c>
      <c r="C47" s="1282" t="s">
        <v>241</v>
      </c>
      <c r="D47" s="1282" t="s">
        <v>496</v>
      </c>
      <c r="E47" s="2484"/>
      <c r="F47" s="2484"/>
      <c r="G47" s="2484"/>
      <c r="H47" s="2484"/>
      <c r="I47" s="2504"/>
      <c r="J47" s="2504"/>
      <c r="K47" s="2481"/>
      <c r="L47" s="1283"/>
      <c r="P47" s="2482"/>
      <c r="Q47" s="2482"/>
      <c r="R47" s="294"/>
      <c r="S47" s="1375"/>
      <c r="T47" s="237"/>
      <c r="U47" s="237"/>
      <c r="V47" s="262"/>
      <c r="W47" s="262"/>
      <c r="X47" s="265" t="str">
        <f>Y46&amp;"-"&amp;AA46</f>
        <v>-</v>
      </c>
      <c r="Y47" s="2487"/>
      <c r="Z47" s="2344"/>
      <c r="AA47" s="2487"/>
      <c r="AB47" s="2344"/>
      <c r="AC47" s="262"/>
      <c r="AD47" s="262"/>
      <c r="AE47" s="265" t="str">
        <f>AF46&amp;"-"&amp;AH46</f>
        <v>-</v>
      </c>
      <c r="AF47" s="2487"/>
      <c r="AG47" s="2344"/>
      <c r="AH47" s="2506"/>
      <c r="AI47" s="2344"/>
      <c r="AJ47" s="1358"/>
      <c r="AK47" s="2549"/>
      <c r="AM47" s="437"/>
      <c r="AN47" s="437" t="str">
        <f t="shared" si="1"/>
        <v/>
      </c>
      <c r="AO47" s="437"/>
      <c r="AP47" s="437"/>
      <c r="AQ47" s="1074">
        <v>0</v>
      </c>
    </row>
    <row r="48" spans="1:43" ht="21" customHeight="1">
      <c r="A48" s="1282" t="s">
        <v>239</v>
      </c>
      <c r="B48" s="1282" t="s">
        <v>240</v>
      </c>
      <c r="C48" s="1282" t="s">
        <v>241</v>
      </c>
      <c r="D48" s="1282" t="s">
        <v>496</v>
      </c>
      <c r="E48" s="2484"/>
      <c r="F48" s="2484"/>
      <c r="G48" s="2484"/>
      <c r="H48" s="2484"/>
      <c r="I48" s="2504"/>
      <c r="J48" s="2481"/>
      <c r="K48" s="1282"/>
      <c r="L48" s="1283"/>
      <c r="P48" s="2482"/>
      <c r="Q48" s="2482"/>
      <c r="R48" s="293"/>
      <c r="S48" s="1197"/>
      <c r="T48" s="224" t="s">
        <v>484</v>
      </c>
      <c r="U48" s="304"/>
      <c r="V48" s="304"/>
      <c r="W48" s="304"/>
      <c r="X48" s="304"/>
      <c r="Y48" s="304"/>
      <c r="Z48" s="304"/>
      <c r="AA48" s="304"/>
      <c r="AB48" s="304"/>
      <c r="AC48" s="304"/>
      <c r="AD48" s="304"/>
      <c r="AE48" s="304"/>
      <c r="AF48" s="304"/>
      <c r="AG48" s="304"/>
      <c r="AH48" s="304"/>
      <c r="AI48" s="304"/>
      <c r="AJ48" s="304"/>
      <c r="AK48" s="1177" t="s">
        <v>485</v>
      </c>
      <c r="AM48" s="437"/>
      <c r="AN48" s="437" t="str">
        <f t="shared" si="1"/>
        <v>Добавить значение признака дифференциации</v>
      </c>
      <c r="AO48" s="437"/>
      <c r="AP48" s="437"/>
      <c r="AQ48" s="1074">
        <v>20</v>
      </c>
    </row>
    <row r="49" spans="1:43" ht="21.95" customHeight="1">
      <c r="A49" s="1282" t="s">
        <v>239</v>
      </c>
      <c r="B49" s="1282" t="s">
        <v>240</v>
      </c>
      <c r="C49" s="1282" t="s">
        <v>241</v>
      </c>
      <c r="D49" s="1282" t="s">
        <v>496</v>
      </c>
      <c r="E49" s="2484"/>
      <c r="F49" s="2484"/>
      <c r="G49" s="2484"/>
      <c r="H49" s="2484"/>
      <c r="I49" s="2481"/>
      <c r="J49" s="1282"/>
      <c r="K49" s="1282"/>
      <c r="L49" s="1283"/>
      <c r="P49" s="2482"/>
      <c r="Q49" s="1369"/>
      <c r="R49" s="293"/>
      <c r="S49" s="1197"/>
      <c r="T49" s="302" t="s">
        <v>410</v>
      </c>
      <c r="U49" s="304"/>
      <c r="V49" s="304"/>
      <c r="W49" s="304"/>
      <c r="X49" s="304"/>
      <c r="Y49" s="304"/>
      <c r="Z49" s="304"/>
      <c r="AA49" s="304"/>
      <c r="AB49" s="303"/>
      <c r="AC49" s="304"/>
      <c r="AD49" s="304"/>
      <c r="AE49" s="304"/>
      <c r="AF49" s="304"/>
      <c r="AG49" s="304"/>
      <c r="AH49" s="304"/>
      <c r="AI49" s="303"/>
      <c r="AJ49" s="304"/>
      <c r="AK49" s="1359"/>
      <c r="AM49" s="437"/>
      <c r="AN49" s="437" t="str">
        <f t="shared" si="1"/>
        <v>Добавить группу потребителей</v>
      </c>
      <c r="AO49" s="437"/>
      <c r="AP49" s="437"/>
      <c r="AQ49" s="1074">
        <v>21</v>
      </c>
    </row>
    <row r="50" spans="1:43" ht="21.95" customHeight="1">
      <c r="A50" s="1282" t="s">
        <v>239</v>
      </c>
      <c r="B50" s="1282" t="s">
        <v>240</v>
      </c>
      <c r="C50" s="1282" t="s">
        <v>241</v>
      </c>
      <c r="D50" s="1282" t="s">
        <v>496</v>
      </c>
      <c r="E50" s="2484"/>
      <c r="F50" s="2484"/>
      <c r="G50" s="2484"/>
      <c r="H50" s="2483"/>
      <c r="I50" s="1282"/>
      <c r="J50" s="1282"/>
      <c r="K50" s="1282"/>
      <c r="L50" s="1283"/>
      <c r="M50" s="1284"/>
      <c r="N50" s="1284"/>
      <c r="O50" s="474"/>
      <c r="P50" s="297"/>
      <c r="Q50" s="312"/>
      <c r="R50" s="292"/>
      <c r="S50" s="1197"/>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74">
        <v>21</v>
      </c>
    </row>
    <row r="51" spans="1:43" s="2245" customFormat="1" ht="0" hidden="1" customHeight="1">
      <c r="A51" s="1262" t="s">
        <v>239</v>
      </c>
      <c r="B51" s="1262" t="s">
        <v>240</v>
      </c>
      <c r="C51" s="1233"/>
      <c r="D51" s="1233"/>
      <c r="E51" s="2484"/>
      <c r="F51" s="2483"/>
      <c r="G51" s="1233"/>
      <c r="H51" s="1233"/>
      <c r="I51" s="1233"/>
      <c r="J51" s="1233"/>
      <c r="K51" s="1233"/>
      <c r="L51" s="1377"/>
      <c r="M51" s="1240"/>
      <c r="N51" s="1240"/>
      <c r="P51" s="1235"/>
      <c r="Q51" s="1236"/>
      <c r="R51" s="1235"/>
      <c r="S51" s="1241"/>
      <c r="T51" s="1244" t="s">
        <v>413</v>
      </c>
      <c r="U51" s="1243"/>
      <c r="V51" s="1243"/>
      <c r="W51" s="1243"/>
      <c r="X51" s="1243"/>
      <c r="Y51" s="1243"/>
      <c r="Z51" s="1243"/>
      <c r="AA51" s="1243"/>
      <c r="AB51" s="1243"/>
      <c r="AC51" s="1243"/>
      <c r="AD51" s="1243"/>
      <c r="AE51" s="1243"/>
      <c r="AF51" s="1243"/>
      <c r="AG51" s="1243"/>
      <c r="AH51" s="1243"/>
      <c r="AI51" s="1243"/>
      <c r="AJ51" s="1243"/>
      <c r="AK51" s="1243"/>
      <c r="AM51" s="720"/>
      <c r="AN51" s="720" t="str">
        <f t="shared" si="1"/>
        <v>Добавить централизованную систему для дифференциации</v>
      </c>
      <c r="AO51" s="720"/>
      <c r="AP51" s="720"/>
      <c r="AQ51" s="455">
        <v>0</v>
      </c>
    </row>
    <row r="52" spans="1:43" s="2245" customFormat="1" ht="0" hidden="1" customHeight="1">
      <c r="A52" s="1262" t="s">
        <v>239</v>
      </c>
      <c r="B52" s="1262"/>
      <c r="C52" s="1262"/>
      <c r="D52" s="1262"/>
      <c r="E52" s="2483"/>
      <c r="F52" s="1262"/>
      <c r="G52" s="1262"/>
      <c r="H52" s="1262"/>
      <c r="I52" s="1262"/>
      <c r="J52" s="1262"/>
      <c r="K52" s="1262"/>
      <c r="L52" s="1265"/>
      <c r="M52" s="1240"/>
      <c r="N52" s="1240"/>
      <c r="O52" s="455"/>
      <c r="P52" s="317"/>
      <c r="Q52" s="1263"/>
      <c r="R52" s="317"/>
      <c r="S52" s="1241"/>
      <c r="T52" s="1244" t="s">
        <v>414</v>
      </c>
      <c r="U52" s="1243"/>
      <c r="V52" s="1243"/>
      <c r="W52" s="1243"/>
      <c r="X52" s="1243"/>
      <c r="Y52" s="1243"/>
      <c r="Z52" s="1243"/>
      <c r="AA52" s="1243"/>
      <c r="AB52" s="1243"/>
      <c r="AC52" s="1243"/>
      <c r="AD52" s="1243"/>
      <c r="AE52" s="1243"/>
      <c r="AF52" s="1243"/>
      <c r="AG52" s="1243"/>
      <c r="AH52" s="1243"/>
      <c r="AI52" s="1243"/>
      <c r="AJ52" s="1243"/>
      <c r="AK52" s="1243"/>
      <c r="AM52" s="437"/>
      <c r="AN52" s="437" t="str">
        <f t="shared" si="1"/>
        <v>Добавить территорию для дифференциации</v>
      </c>
      <c r="AO52" s="437"/>
      <c r="AP52" s="437"/>
      <c r="AQ52" s="448">
        <v>0</v>
      </c>
    </row>
    <row r="53" spans="1:43" s="2245"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446</v>
      </c>
      <c r="U53" s="1243"/>
      <c r="V53" s="1243"/>
      <c r="W53" s="1243"/>
      <c r="X53" s="1243"/>
      <c r="Y53" s="1243"/>
      <c r="Z53" s="1243"/>
      <c r="AA53" s="1243"/>
      <c r="AB53" s="1243"/>
      <c r="AC53" s="1243"/>
      <c r="AD53" s="1243"/>
      <c r="AE53" s="1243"/>
      <c r="AF53" s="1243"/>
      <c r="AG53" s="1243"/>
      <c r="AH53" s="1243"/>
      <c r="AI53" s="1243"/>
      <c r="AJ53" s="1243"/>
      <c r="AK53" s="1243"/>
      <c r="AM53" s="720"/>
      <c r="AN53" s="720" t="str">
        <f t="shared" si="1"/>
        <v>Добавить наименование тарифа</v>
      </c>
      <c r="AO53" s="720"/>
      <c r="AP53" s="720"/>
      <c r="AQ53" s="455">
        <v>0</v>
      </c>
    </row>
    <row r="54" spans="1:43" ht="11.45" customHeight="1">
      <c r="M54" s="1079"/>
      <c r="N54" s="1079"/>
      <c r="O54" s="474"/>
      <c r="P54" s="1074"/>
      <c r="Q54" s="1074"/>
      <c r="R54" s="1074"/>
      <c r="S54" s="1074"/>
      <c r="AL54" s="1074"/>
      <c r="AM54" s="1074"/>
      <c r="AN54" s="1074"/>
      <c r="AO54" s="1074"/>
      <c r="AP54" s="1074"/>
      <c r="AQ54" s="1074">
        <v>11</v>
      </c>
    </row>
    <row r="55" spans="1:43" ht="14.65" customHeight="1">
      <c r="O55" s="474"/>
      <c r="S55" s="1172"/>
      <c r="T55" s="2503"/>
      <c r="U55" s="2503"/>
      <c r="V55" s="2503"/>
      <c r="W55" s="2503"/>
      <c r="X55" s="2503"/>
      <c r="Y55" s="2503"/>
      <c r="Z55" s="2503"/>
      <c r="AA55" s="2503"/>
      <c r="AB55" s="2503"/>
      <c r="AC55" s="2503"/>
      <c r="AD55" s="2503"/>
      <c r="AE55" s="2503"/>
      <c r="AF55" s="2503"/>
      <c r="AG55" s="2503"/>
      <c r="AH55" s="2503"/>
      <c r="AI55" s="2503"/>
      <c r="AJ55" s="2503"/>
      <c r="AK55" s="2503"/>
      <c r="AQ55" s="1074">
        <v>14</v>
      </c>
    </row>
    <row r="56" spans="1:43" ht="14.65" customHeight="1">
      <c r="O56" s="474"/>
      <c r="AQ56" s="1074">
        <v>14</v>
      </c>
    </row>
    <row r="57" spans="1:43" ht="14.65" customHeight="1">
      <c r="O57" s="474"/>
      <c r="S57" s="1172"/>
      <c r="T57" s="2503"/>
      <c r="U57" s="2503"/>
      <c r="V57" s="2503"/>
      <c r="W57" s="2503"/>
      <c r="X57" s="2503"/>
      <c r="Y57" s="2503"/>
      <c r="Z57" s="2503"/>
      <c r="AA57" s="2503"/>
      <c r="AB57" s="2503"/>
      <c r="AC57" s="2503"/>
      <c r="AD57" s="2503"/>
      <c r="AE57" s="2503"/>
      <c r="AF57" s="2503"/>
      <c r="AG57" s="2503"/>
      <c r="AH57" s="2503"/>
      <c r="AI57" s="2503"/>
      <c r="AJ57" s="2503"/>
      <c r="AK57" s="2503"/>
      <c r="AQ57" s="1074">
        <v>14</v>
      </c>
    </row>
    <row r="58" spans="1:43" ht="22.5" hidden="1" customHeight="1">
      <c r="A58" s="1079" t="s">
        <v>81</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8">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8">
        <v>10</v>
      </c>
      <c r="AM58" s="448">
        <v>10</v>
      </c>
      <c r="AN58" s="448">
        <v>10</v>
      </c>
      <c r="AO58" s="448">
        <v>10</v>
      </c>
      <c r="AP58" s="448">
        <v>10</v>
      </c>
      <c r="AQ58" s="1074">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238" hidden="1" customWidth="1"/>
    <col min="4" max="4" width="11.85546875" style="2238" hidden="1" customWidth="1"/>
    <col min="5" max="11" width="10.140625" style="2238" hidden="1" customWidth="1"/>
    <col min="12" max="12" width="10.140625" style="2242" hidden="1" customWidth="1"/>
    <col min="13" max="15" width="10.140625" style="2272" hidden="1" customWidth="1"/>
    <col min="16" max="16" width="3" style="2271" customWidth="1"/>
    <col min="17" max="17" width="3" style="2276" customWidth="1"/>
    <col min="18" max="18" width="3" style="2273" customWidth="1"/>
    <col min="19" max="19" width="12" style="2274" customWidth="1"/>
    <col min="20" max="20" width="31" style="2238" customWidth="1"/>
    <col min="21" max="21" width="0.140625" style="2238" customWidth="1"/>
    <col min="22" max="23" width="21.7109375" style="2238" hidden="1" customWidth="1"/>
    <col min="24" max="24" width="11.7109375" style="2238" hidden="1" customWidth="1"/>
    <col min="25" max="25" width="3.7109375" style="2238" hidden="1" customWidth="1"/>
    <col min="26" max="26" width="11.7109375" style="2238" hidden="1" customWidth="1"/>
    <col min="27" max="27" width="8.5703125" style="2238" hidden="1" customWidth="1"/>
    <col min="28" max="28" width="27" style="2238" customWidth="1"/>
    <col min="29" max="29" width="24.5703125" style="2238" customWidth="1"/>
    <col min="30" max="31" width="21" style="2238" customWidth="1"/>
    <col min="32" max="32" width="11" style="2238" customWidth="1"/>
    <col min="33" max="33" width="3.7109375" style="2238" customWidth="1"/>
    <col min="34" max="34" width="11" style="2238" customWidth="1"/>
    <col min="35" max="35" width="8.5703125" style="2238" hidden="1" customWidth="1"/>
    <col min="36" max="36" width="4" style="2238" customWidth="1"/>
    <col min="37" max="37" width="115" style="2238" customWidth="1"/>
    <col min="38" max="42" width="10" style="2245" customWidth="1"/>
    <col min="43" max="43" width="10.5703125" style="2238" hidden="1"/>
  </cols>
  <sheetData>
    <row r="1" spans="1:43" ht="0.75" hidden="1" customHeight="1">
      <c r="AQ1" s="1550" t="s">
        <v>14</v>
      </c>
    </row>
    <row r="2" spans="1:43" ht="21" hidden="1" customHeight="1">
      <c r="A2" s="1186"/>
      <c r="B2" s="1186"/>
      <c r="C2" s="1186"/>
      <c r="D2" s="1186"/>
      <c r="E2" s="2507">
        <v>1</v>
      </c>
      <c r="F2" s="1186"/>
      <c r="G2" s="1186"/>
      <c r="H2" s="1186"/>
      <c r="I2" s="1186"/>
      <c r="J2" s="1186"/>
      <c r="K2" s="1186"/>
      <c r="L2" s="1229"/>
      <c r="M2" s="1529"/>
      <c r="N2" s="1529"/>
      <c r="O2" s="1529"/>
      <c r="P2" s="1328"/>
      <c r="Q2" s="800"/>
      <c r="R2" s="292"/>
      <c r="S2" s="1871" t="e">
        <f>INDEX(PT_DIFFERENTIATION_NUM_NTAR,MATCH(A2,PT_DIFFERENTIATION_NTAR_ID,0))</f>
        <v>#N/A</v>
      </c>
      <c r="T2" s="1444" t="s">
        <v>123</v>
      </c>
      <c r="U2" s="237"/>
      <c r="V2" s="2470"/>
      <c r="W2" s="2470"/>
      <c r="X2" s="2470"/>
      <c r="Y2" s="2470"/>
      <c r="Z2" s="2470"/>
      <c r="AA2" s="2471"/>
      <c r="AB2" s="1865"/>
      <c r="AC2" s="2470" t="e">
        <f>INDEX(PT_DIFFERENTIATION_NTAR,MATCH(A2,PT_DIFFERENTIATION_NTAR_ID,0))</f>
        <v>#N/A</v>
      </c>
      <c r="AD2" s="2470"/>
      <c r="AE2" s="2470"/>
      <c r="AF2" s="2470"/>
      <c r="AG2" s="2470"/>
      <c r="AH2" s="2470"/>
      <c r="AI2" s="2470"/>
      <c r="AJ2" s="2471"/>
      <c r="AK2" s="1177" t="s">
        <v>394</v>
      </c>
      <c r="AM2" s="1543"/>
      <c r="AN2" s="1543" t="str">
        <f t="shared" ref="AN2:AN14" si="0">IF(T2="","",T2)</f>
        <v>Наименование тарифа</v>
      </c>
      <c r="AO2" s="1543"/>
      <c r="AP2" s="1543"/>
      <c r="AQ2" s="1550">
        <v>0</v>
      </c>
    </row>
    <row r="3" spans="1:43" ht="21" hidden="1" customHeight="1">
      <c r="A3" s="1186"/>
      <c r="B3" s="1186"/>
      <c r="C3" s="1186"/>
      <c r="D3" s="1186"/>
      <c r="E3" s="2508"/>
      <c r="F3" s="2507">
        <v>1</v>
      </c>
      <c r="G3" s="1186"/>
      <c r="H3" s="1186"/>
      <c r="I3" s="1186"/>
      <c r="J3" s="1186"/>
      <c r="K3" s="1186"/>
      <c r="L3" s="1229"/>
      <c r="M3" s="1529"/>
      <c r="N3" s="1529"/>
      <c r="O3" s="1529"/>
      <c r="P3" s="1882"/>
      <c r="Q3" s="1330"/>
      <c r="R3" s="290"/>
      <c r="S3" s="1871" t="e">
        <f>INDEX(PT_DIFFERENTIATION_NUM_TER,MATCH(B3,PT_DIFFERENTIATION_TER_ID,0))</f>
        <v>#N/A</v>
      </c>
      <c r="T3" s="1441" t="s">
        <v>395</v>
      </c>
      <c r="U3" s="237"/>
      <c r="V3" s="2470"/>
      <c r="W3" s="2470"/>
      <c r="X3" s="2470"/>
      <c r="Y3" s="2470"/>
      <c r="Z3" s="2470"/>
      <c r="AA3" s="2471"/>
      <c r="AB3" s="1865"/>
      <c r="AC3" s="2470" t="e">
        <f>INDEX(PT_DIFFERENTIATION_TER,MATCH(B3,PT_DIFFERENTIATION_TER_ID,0))</f>
        <v>#N/A</v>
      </c>
      <c r="AD3" s="2470"/>
      <c r="AE3" s="2470"/>
      <c r="AF3" s="2470"/>
      <c r="AG3" s="2470"/>
      <c r="AH3" s="2470"/>
      <c r="AI3" s="2470"/>
      <c r="AJ3" s="2471"/>
      <c r="AK3" s="1177" t="s">
        <v>396</v>
      </c>
      <c r="AM3" s="1543"/>
      <c r="AN3" s="1543" t="str">
        <f t="shared" si="0"/>
        <v>Территория действия тарифа</v>
      </c>
      <c r="AO3" s="1543"/>
      <c r="AP3" s="1543"/>
      <c r="AQ3" s="1550">
        <v>0</v>
      </c>
    </row>
    <row r="4" spans="1:43" ht="22.5" hidden="1" customHeight="1">
      <c r="A4" s="1186"/>
      <c r="B4" s="1186"/>
      <c r="C4" s="1186"/>
      <c r="D4" s="1186"/>
      <c r="E4" s="2508"/>
      <c r="F4" s="2508"/>
      <c r="G4" s="2507">
        <v>1</v>
      </c>
      <c r="H4" s="1186"/>
      <c r="I4" s="1186"/>
      <c r="J4" s="1186"/>
      <c r="K4" s="1186"/>
      <c r="L4" s="1229"/>
      <c r="M4" s="1529"/>
      <c r="N4" s="1529"/>
      <c r="O4" s="1529"/>
      <c r="P4" s="1331"/>
      <c r="Q4" s="1330"/>
      <c r="R4" s="290"/>
      <c r="S4" s="1871" t="e">
        <f>INDEX(PT_DIFFERENTIATION_NUM_CS,MATCH(C4,PT_DIFFERENTIATION_CS_ID,0))</f>
        <v>#N/A</v>
      </c>
      <c r="T4" s="246" t="s">
        <v>397</v>
      </c>
      <c r="U4" s="237"/>
      <c r="V4" s="2470"/>
      <c r="W4" s="2470"/>
      <c r="X4" s="2470"/>
      <c r="Y4" s="2470"/>
      <c r="Z4" s="2470"/>
      <c r="AA4" s="2471"/>
      <c r="AB4" s="1865"/>
      <c r="AC4" s="2470" t="e">
        <f>INDEX(PT_DIFFERENTIATION_CS,MATCH(C4,PT_DIFFERENTIATION_CS_ID,0))</f>
        <v>#N/A</v>
      </c>
      <c r="AD4" s="2470"/>
      <c r="AE4" s="2470"/>
      <c r="AF4" s="2470"/>
      <c r="AG4" s="2470"/>
      <c r="AH4" s="2470"/>
      <c r="AI4" s="2470"/>
      <c r="AJ4" s="2471"/>
      <c r="AK4" s="1177" t="s">
        <v>398</v>
      </c>
      <c r="AM4" s="1543"/>
      <c r="AN4" s="1543" t="str">
        <f t="shared" si="0"/>
        <v xml:space="preserve">Наименование системы теплоснабжения </v>
      </c>
      <c r="AO4" s="1543"/>
      <c r="AP4" s="1543"/>
      <c r="AQ4" s="1550">
        <v>0</v>
      </c>
    </row>
    <row r="5" spans="1:43" ht="21" hidden="1" customHeight="1">
      <c r="A5" s="1186"/>
      <c r="B5" s="1186"/>
      <c r="C5" s="1186"/>
      <c r="D5" s="1186"/>
      <c r="E5" s="2508"/>
      <c r="F5" s="2508"/>
      <c r="G5" s="2508"/>
      <c r="H5" s="2507">
        <v>1</v>
      </c>
      <c r="I5" s="1186"/>
      <c r="J5" s="1186"/>
      <c r="K5" s="1186"/>
      <c r="L5" s="1229"/>
      <c r="M5" s="1529"/>
      <c r="N5" s="1529"/>
      <c r="O5" s="1529"/>
      <c r="P5" s="1331"/>
      <c r="Q5" s="1330"/>
      <c r="R5" s="290"/>
      <c r="S5" s="1871" t="e">
        <f>INDEX(PT_DIFFERENTIATION_NUM_IST_TE,MATCH(D5,PT_DIFFERENTIATION_IST_TE_ID,0))</f>
        <v>#N/A</v>
      </c>
      <c r="T5" s="247" t="s">
        <v>399</v>
      </c>
      <c r="U5" s="237"/>
      <c r="V5" s="2470"/>
      <c r="W5" s="2470"/>
      <c r="X5" s="2470"/>
      <c r="Y5" s="2470"/>
      <c r="Z5" s="2470"/>
      <c r="AA5" s="2471"/>
      <c r="AB5" s="1865"/>
      <c r="AC5" s="2470" t="e">
        <f>INDEX(PT_DIFFERENTIATION_IST_TE,MATCH(D5,PT_DIFFERENTIATION_IST_TE_ID,0))</f>
        <v>#N/A</v>
      </c>
      <c r="AD5" s="2470"/>
      <c r="AE5" s="2470"/>
      <c r="AF5" s="2470"/>
      <c r="AG5" s="2470"/>
      <c r="AH5" s="2470"/>
      <c r="AI5" s="2470"/>
      <c r="AJ5" s="2471"/>
      <c r="AK5" s="1177" t="s">
        <v>400</v>
      </c>
      <c r="AM5" s="1543"/>
      <c r="AN5" s="1543" t="str">
        <f t="shared" si="0"/>
        <v xml:space="preserve">Источник тепловой энергии  </v>
      </c>
      <c r="AO5" s="1543"/>
      <c r="AP5" s="1543"/>
      <c r="AQ5" s="1550">
        <v>0</v>
      </c>
    </row>
    <row r="6" spans="1:43" s="2245" customFormat="1" ht="0.75" hidden="1" customHeight="1">
      <c r="A6" s="1294"/>
      <c r="B6" s="1294"/>
      <c r="C6" s="1294"/>
      <c r="D6" s="1294"/>
      <c r="E6" s="2508"/>
      <c r="F6" s="2508"/>
      <c r="G6" s="2508"/>
      <c r="H6" s="2508"/>
      <c r="I6" s="2363" t="e">
        <f>S5&amp;".1"</f>
        <v>#N/A</v>
      </c>
      <c r="J6" s="1294"/>
      <c r="K6" s="1294"/>
      <c r="L6" s="1300" t="s">
        <v>401</v>
      </c>
      <c r="M6" s="1165"/>
      <c r="N6" s="1165"/>
      <c r="O6" s="1165"/>
      <c r="P6" s="2482">
        <v>1</v>
      </c>
      <c r="Q6" s="1867"/>
      <c r="R6" s="293"/>
      <c r="S6" s="966"/>
      <c r="T6" s="1302"/>
      <c r="U6" s="1303"/>
      <c r="V6" s="2513"/>
      <c r="W6" s="2513"/>
      <c r="X6" s="2513"/>
      <c r="Y6" s="2513"/>
      <c r="Z6" s="2513"/>
      <c r="AA6" s="2514"/>
      <c r="AB6" s="1873"/>
      <c r="AC6" s="2513"/>
      <c r="AD6" s="2513"/>
      <c r="AE6" s="2513"/>
      <c r="AF6" s="2513"/>
      <c r="AG6" s="2513"/>
      <c r="AH6" s="2513"/>
      <c r="AI6" s="2513"/>
      <c r="AJ6" s="2514"/>
      <c r="AK6" s="1304"/>
      <c r="AM6" s="1543"/>
      <c r="AN6" s="1543" t="str">
        <f t="shared" si="0"/>
        <v/>
      </c>
      <c r="AO6" s="1543"/>
      <c r="AP6" s="1543"/>
      <c r="AQ6" s="1555">
        <v>0</v>
      </c>
    </row>
    <row r="7" spans="1:43" s="2245" customFormat="1" ht="0.75" hidden="1" customHeight="1">
      <c r="A7" s="1294"/>
      <c r="B7" s="1294"/>
      <c r="C7" s="1294"/>
      <c r="D7" s="1294"/>
      <c r="E7" s="2508"/>
      <c r="F7" s="2508"/>
      <c r="G7" s="2508"/>
      <c r="H7" s="2508"/>
      <c r="I7" s="2335"/>
      <c r="J7" s="2363" t="e">
        <f>S5&amp;".1"</f>
        <v>#N/A</v>
      </c>
      <c r="K7" s="1294"/>
      <c r="L7" s="1300"/>
      <c r="M7" s="1165"/>
      <c r="N7" s="1165"/>
      <c r="O7" s="1165"/>
      <c r="P7" s="2482"/>
      <c r="Q7" s="2482">
        <v>1</v>
      </c>
      <c r="R7" s="294"/>
      <c r="S7" s="966"/>
      <c r="T7" s="1318"/>
      <c r="U7" s="1303"/>
      <c r="V7" s="2513"/>
      <c r="W7" s="2513"/>
      <c r="X7" s="2513"/>
      <c r="Y7" s="2513"/>
      <c r="Z7" s="2513"/>
      <c r="AA7" s="2514"/>
      <c r="AB7" s="1873"/>
      <c r="AC7" s="2513"/>
      <c r="AD7" s="2513"/>
      <c r="AE7" s="2513"/>
      <c r="AF7" s="2513"/>
      <c r="AG7" s="2513"/>
      <c r="AH7" s="2513"/>
      <c r="AI7" s="2513"/>
      <c r="AJ7" s="2514"/>
      <c r="AK7" s="1304"/>
      <c r="AM7" s="1543"/>
      <c r="AN7" s="1543" t="str">
        <f t="shared" si="0"/>
        <v/>
      </c>
      <c r="AO7" s="1543"/>
      <c r="AP7" s="1543"/>
      <c r="AQ7" s="1555">
        <v>0</v>
      </c>
    </row>
    <row r="8" spans="1:43" ht="21" hidden="1" customHeight="1">
      <c r="A8" s="1186"/>
      <c r="B8" s="1186"/>
      <c r="C8" s="1186"/>
      <c r="D8" s="1186"/>
      <c r="E8" s="2508"/>
      <c r="F8" s="2508"/>
      <c r="G8" s="2508"/>
      <c r="H8" s="2508"/>
      <c r="I8" s="2335"/>
      <c r="J8" s="2335"/>
      <c r="K8" s="1904" t="e">
        <f>S5&amp;".1"</f>
        <v>#N/A</v>
      </c>
      <c r="L8" s="1229"/>
      <c r="P8" s="2482"/>
      <c r="Q8" s="2482"/>
      <c r="R8" s="1908">
        <v>1</v>
      </c>
      <c r="S8" s="1906" t="e">
        <f>$K8</f>
        <v>#N/A</v>
      </c>
      <c r="T8" s="1907"/>
      <c r="U8" s="237"/>
      <c r="V8" s="688"/>
      <c r="W8" s="1176"/>
      <c r="X8" s="1905"/>
      <c r="Y8" s="1903" t="s">
        <v>64</v>
      </c>
      <c r="Z8" s="1905"/>
      <c r="AA8" s="1903" t="s">
        <v>64</v>
      </c>
      <c r="AB8" s="1909"/>
      <c r="AC8" s="1910" t="s">
        <v>22</v>
      </c>
      <c r="AD8" s="688"/>
      <c r="AE8" s="1176"/>
      <c r="AF8" s="1868"/>
      <c r="AG8" s="1855" t="s">
        <v>64</v>
      </c>
      <c r="AH8" s="1868"/>
      <c r="AI8" s="1855" t="s">
        <v>64</v>
      </c>
      <c r="AJ8" s="1267"/>
      <c r="AK8" s="2478" t="s">
        <v>462</v>
      </c>
      <c r="AL8" s="1555" t="e">
        <f ca="1">STRCHECKDATE(#REF!)</f>
        <v>#NAME?</v>
      </c>
      <c r="AM8" s="1543"/>
      <c r="AN8" s="1543" t="str">
        <f t="shared" si="0"/>
        <v/>
      </c>
      <c r="AO8" s="1543"/>
      <c r="AP8" s="1543"/>
      <c r="AQ8" s="1550">
        <v>0</v>
      </c>
    </row>
    <row r="9" spans="1:43" ht="11.25" hidden="1" customHeight="1">
      <c r="A9" s="1186"/>
      <c r="B9" s="1186"/>
      <c r="C9" s="1186"/>
      <c r="D9" s="1186"/>
      <c r="E9" s="2508"/>
      <c r="F9" s="2508"/>
      <c r="G9" s="2508"/>
      <c r="H9" s="2508"/>
      <c r="I9" s="2335"/>
      <c r="J9" s="2363"/>
      <c r="K9" s="1186"/>
      <c r="L9" s="1229"/>
      <c r="P9" s="2482"/>
      <c r="Q9" s="2482"/>
      <c r="R9" s="293"/>
      <c r="S9" s="1197"/>
      <c r="T9" s="224" t="s">
        <v>466</v>
      </c>
      <c r="U9" s="537"/>
      <c r="V9" s="537"/>
      <c r="W9" s="537"/>
      <c r="X9" s="537"/>
      <c r="Y9" s="537"/>
      <c r="Z9" s="537"/>
      <c r="AA9" s="537"/>
      <c r="AB9" s="537"/>
      <c r="AC9" s="537"/>
      <c r="AD9" s="537"/>
      <c r="AE9" s="537"/>
      <c r="AF9" s="537"/>
      <c r="AG9" s="537"/>
      <c r="AH9" s="537"/>
      <c r="AI9" s="537"/>
      <c r="AJ9" s="261"/>
      <c r="AK9" s="2480"/>
      <c r="AM9" s="1543"/>
      <c r="AN9" s="1543" t="str">
        <f t="shared" si="0"/>
        <v>Добавить строку</v>
      </c>
      <c r="AO9" s="1543"/>
      <c r="AP9" s="1543"/>
      <c r="AQ9" s="1550">
        <v>0</v>
      </c>
    </row>
    <row r="10" spans="1:43" s="2245" customFormat="1" ht="0.75" hidden="1" customHeight="1">
      <c r="A10" s="1294"/>
      <c r="B10" s="1294"/>
      <c r="C10" s="1294"/>
      <c r="D10" s="1294"/>
      <c r="E10" s="2508"/>
      <c r="F10" s="2508"/>
      <c r="G10" s="2508"/>
      <c r="H10" s="2508"/>
      <c r="I10" s="2363"/>
      <c r="J10" s="1294"/>
      <c r="K10" s="1294"/>
      <c r="L10" s="1300"/>
      <c r="M10" s="1165"/>
      <c r="N10" s="1165"/>
      <c r="O10" s="1165"/>
      <c r="P10" s="2482"/>
      <c r="Q10" s="1867"/>
      <c r="R10" s="293"/>
      <c r="S10" s="1305"/>
      <c r="T10" s="1306"/>
      <c r="U10" s="1307"/>
      <c r="V10" s="1307"/>
      <c r="W10" s="1307"/>
      <c r="X10" s="1307"/>
      <c r="Y10" s="1307"/>
      <c r="Z10" s="1307"/>
      <c r="AA10" s="1307"/>
      <c r="AB10" s="1307"/>
      <c r="AC10" s="1307"/>
      <c r="AD10" s="1307"/>
      <c r="AE10" s="1307"/>
      <c r="AF10" s="1307"/>
      <c r="AG10" s="1307"/>
      <c r="AH10" s="1307"/>
      <c r="AI10" s="1307"/>
      <c r="AJ10" s="1307"/>
      <c r="AK10" s="1308"/>
      <c r="AM10" s="1543"/>
      <c r="AN10" s="1543" t="str">
        <f t="shared" si="0"/>
        <v/>
      </c>
      <c r="AO10" s="1543"/>
      <c r="AP10" s="1543"/>
      <c r="AQ10" s="1555">
        <v>0</v>
      </c>
    </row>
    <row r="11" spans="1:43" s="2245" customFormat="1" ht="0.75" hidden="1" customHeight="1">
      <c r="A11" s="1294"/>
      <c r="B11" s="1294"/>
      <c r="C11" s="1294"/>
      <c r="D11" s="1294"/>
      <c r="E11" s="2508"/>
      <c r="F11" s="2508"/>
      <c r="G11" s="2508"/>
      <c r="H11" s="2507"/>
      <c r="I11" s="1294"/>
      <c r="J11" s="1294"/>
      <c r="K11" s="1294"/>
      <c r="L11" s="1300"/>
      <c r="M11" s="1297"/>
      <c r="N11" s="1297"/>
      <c r="O11" s="288"/>
      <c r="P11" s="317"/>
      <c r="Q11" s="1263"/>
      <c r="R11" s="1320"/>
      <c r="S11" s="1305"/>
      <c r="T11" s="1306"/>
      <c r="U11" s="1307"/>
      <c r="V11" s="1307"/>
      <c r="W11" s="1307"/>
      <c r="X11" s="1307"/>
      <c r="Y11" s="1307"/>
      <c r="Z11" s="1307"/>
      <c r="AA11" s="1307"/>
      <c r="AB11" s="1307"/>
      <c r="AC11" s="1307"/>
      <c r="AD11" s="1307"/>
      <c r="AE11" s="1307"/>
      <c r="AF11" s="1307"/>
      <c r="AG11" s="1307"/>
      <c r="AH11" s="1307"/>
      <c r="AI11" s="1307"/>
      <c r="AJ11" s="1307"/>
      <c r="AK11" s="1308"/>
      <c r="AM11" s="1543"/>
      <c r="AN11" s="1543" t="str">
        <f t="shared" si="0"/>
        <v/>
      </c>
      <c r="AO11" s="1543"/>
      <c r="AP11" s="1543"/>
      <c r="AQ11" s="1555">
        <v>0</v>
      </c>
    </row>
    <row r="12" spans="1:43" s="2245" customFormat="1" ht="0.75" hidden="1" customHeight="1">
      <c r="A12" s="1294"/>
      <c r="B12" s="1294"/>
      <c r="C12" s="1294"/>
      <c r="D12" s="1293"/>
      <c r="E12" s="2508"/>
      <c r="F12" s="2508"/>
      <c r="G12" s="2507"/>
      <c r="H12" s="1293"/>
      <c r="I12" s="1293"/>
      <c r="J12" s="1293"/>
      <c r="K12" s="1293"/>
      <c r="L12" s="1296"/>
      <c r="M12" s="1297"/>
      <c r="N12" s="1297"/>
      <c r="O12" s="288"/>
      <c r="P12" s="1235"/>
      <c r="Q12" s="1236"/>
      <c r="R12" s="1235"/>
      <c r="S12" s="1241"/>
      <c r="T12" s="1244" t="s">
        <v>412</v>
      </c>
      <c r="U12" s="1243"/>
      <c r="V12" s="1243"/>
      <c r="W12" s="1243"/>
      <c r="X12" s="1243"/>
      <c r="Y12" s="1243"/>
      <c r="Z12" s="1243"/>
      <c r="AA12" s="1243"/>
      <c r="AB12" s="1243"/>
      <c r="AC12" s="1243"/>
      <c r="AD12" s="1243"/>
      <c r="AE12" s="1243"/>
      <c r="AF12" s="1243"/>
      <c r="AG12" s="1243"/>
      <c r="AH12" s="1243"/>
      <c r="AI12" s="1243"/>
      <c r="AJ12" s="1243"/>
      <c r="AK12" s="1243"/>
      <c r="AM12" s="1170"/>
      <c r="AN12" s="1170" t="str">
        <f t="shared" si="0"/>
        <v>Добавить источник для дифференциации</v>
      </c>
      <c r="AO12" s="1170"/>
      <c r="AP12" s="1170"/>
      <c r="AQ12" s="1561">
        <v>0</v>
      </c>
    </row>
    <row r="13" spans="1:43" s="2245" customFormat="1" ht="0.75" hidden="1" customHeight="1">
      <c r="A13" s="1294"/>
      <c r="B13" s="1294"/>
      <c r="C13" s="1293"/>
      <c r="D13" s="1293"/>
      <c r="E13" s="2508"/>
      <c r="F13" s="2507"/>
      <c r="G13" s="1293"/>
      <c r="H13" s="1293"/>
      <c r="I13" s="1293"/>
      <c r="J13" s="1293"/>
      <c r="K13" s="1293"/>
      <c r="L13" s="1296"/>
      <c r="M13" s="1298"/>
      <c r="N13" s="1298"/>
      <c r="O13" s="288"/>
      <c r="P13" s="1235"/>
      <c r="Q13" s="1236"/>
      <c r="R13" s="1235"/>
      <c r="S13" s="1241"/>
      <c r="T13" s="1244" t="s">
        <v>413</v>
      </c>
      <c r="U13" s="1243"/>
      <c r="V13" s="1243"/>
      <c r="W13" s="1243"/>
      <c r="X13" s="1243"/>
      <c r="Y13" s="1243"/>
      <c r="Z13" s="1243"/>
      <c r="AA13" s="1243"/>
      <c r="AB13" s="1243"/>
      <c r="AC13" s="1243"/>
      <c r="AD13" s="1243"/>
      <c r="AE13" s="1243"/>
      <c r="AF13" s="1243"/>
      <c r="AG13" s="1243"/>
      <c r="AH13" s="1243"/>
      <c r="AI13" s="1243"/>
      <c r="AJ13" s="1243"/>
      <c r="AK13" s="1243"/>
      <c r="AM13" s="1170"/>
      <c r="AN13" s="1170" t="str">
        <f t="shared" si="0"/>
        <v>Добавить централизованную систему для дифференциации</v>
      </c>
      <c r="AO13" s="1170"/>
      <c r="AP13" s="1170"/>
      <c r="AQ13" s="1561">
        <v>0</v>
      </c>
    </row>
    <row r="14" spans="1:43" s="2245" customFormat="1" ht="0.75" hidden="1" customHeight="1">
      <c r="A14" s="1294"/>
      <c r="B14" s="1294"/>
      <c r="C14" s="1294"/>
      <c r="D14" s="1294"/>
      <c r="E14" s="2507"/>
      <c r="F14" s="1294"/>
      <c r="G14" s="1294"/>
      <c r="H14" s="1294"/>
      <c r="I14" s="1294"/>
      <c r="J14" s="1294"/>
      <c r="K14" s="1294"/>
      <c r="L14" s="1300"/>
      <c r="M14" s="1298"/>
      <c r="N14" s="1298"/>
      <c r="O14" s="288"/>
      <c r="P14" s="317"/>
      <c r="Q14" s="1263"/>
      <c r="R14" s="317"/>
      <c r="S14" s="1241"/>
      <c r="T14" s="1244" t="s">
        <v>414</v>
      </c>
      <c r="U14" s="1243"/>
      <c r="V14" s="1243"/>
      <c r="W14" s="1243"/>
      <c r="X14" s="1243"/>
      <c r="Y14" s="1243"/>
      <c r="Z14" s="1243"/>
      <c r="AA14" s="1243"/>
      <c r="AB14" s="1243"/>
      <c r="AC14" s="1243"/>
      <c r="AD14" s="1243"/>
      <c r="AE14" s="1243"/>
      <c r="AF14" s="1243"/>
      <c r="AG14" s="1243"/>
      <c r="AH14" s="1243"/>
      <c r="AI14" s="1243"/>
      <c r="AJ14" s="1243"/>
      <c r="AK14" s="1243"/>
      <c r="AM14" s="1543"/>
      <c r="AN14" s="1543" t="str">
        <f t="shared" si="0"/>
        <v>Добавить территорию для дифференциации</v>
      </c>
      <c r="AO14" s="1543"/>
      <c r="AP14" s="1543"/>
      <c r="AQ14" s="1555">
        <v>0</v>
      </c>
    </row>
    <row r="15" spans="1:43" ht="14.25" hidden="1" customHeight="1">
      <c r="AQ15" s="1550">
        <v>0</v>
      </c>
    </row>
    <row r="16" spans="1:43" ht="14.25" hidden="1" customHeight="1">
      <c r="AC16" s="1421"/>
      <c r="AD16" s="1322"/>
      <c r="AE16" s="1323"/>
      <c r="AF16" s="1654"/>
      <c r="AG16" s="1879" t="s">
        <v>64</v>
      </c>
      <c r="AH16" s="1654"/>
      <c r="AI16" s="1879" t="s">
        <v>64</v>
      </c>
      <c r="AQ16" s="1550">
        <v>0</v>
      </c>
    </row>
    <row r="17" spans="1:43" ht="14.25" hidden="1" customHeight="1">
      <c r="AL17" s="1560"/>
      <c r="AM17" s="1560"/>
      <c r="AN17" s="1560"/>
      <c r="AO17" s="1560"/>
      <c r="AP17" s="1560"/>
      <c r="AQ17" s="1550">
        <v>0</v>
      </c>
    </row>
    <row r="18" spans="1:43" ht="14.25" hidden="1" customHeight="1">
      <c r="O18" s="1264" t="s">
        <v>415</v>
      </c>
      <c r="X18" s="1264"/>
      <c r="Z18" s="1264"/>
      <c r="AF18" s="1264"/>
      <c r="AH18" s="1264"/>
      <c r="AL18" s="1560"/>
      <c r="AM18" s="1560"/>
      <c r="AN18" s="1560"/>
      <c r="AO18" s="1560"/>
      <c r="AP18" s="1560"/>
      <c r="AQ18" s="1550">
        <v>0</v>
      </c>
    </row>
    <row r="19" spans="1:43" ht="14.25" hidden="1" customHeight="1">
      <c r="AL19" s="1560"/>
      <c r="AM19" s="1560"/>
      <c r="AN19" s="1560"/>
      <c r="AO19" s="1560"/>
      <c r="AP19" s="1560"/>
      <c r="AQ19" s="1550">
        <v>0</v>
      </c>
    </row>
    <row r="20" spans="1:43" s="2275" customFormat="1" ht="14.25" hidden="1" customHeight="1">
      <c r="A20" s="1884"/>
      <c r="B20" s="1884"/>
      <c r="C20" s="1884"/>
      <c r="D20" s="1884"/>
      <c r="E20" s="1884"/>
      <c r="F20" s="1884"/>
      <c r="G20" s="1884"/>
      <c r="H20" s="1884"/>
      <c r="I20" s="1884"/>
      <c r="J20" s="1884"/>
      <c r="K20" s="1884"/>
      <c r="L20" s="1884"/>
      <c r="M20" s="1885"/>
      <c r="N20" s="1885"/>
      <c r="O20" s="1886" t="s">
        <v>416</v>
      </c>
      <c r="P20" s="1427"/>
      <c r="Q20" s="1429"/>
      <c r="R20" s="1429"/>
      <c r="Y20" s="1426" t="s">
        <v>418</v>
      </c>
      <c r="AA20" s="1426" t="s">
        <v>419</v>
      </c>
      <c r="AC20" s="1426" t="s">
        <v>468</v>
      </c>
      <c r="AG20" s="1426" t="s">
        <v>418</v>
      </c>
      <c r="AI20" s="1426" t="s">
        <v>419</v>
      </c>
      <c r="AL20" s="1430"/>
      <c r="AM20" s="1430"/>
      <c r="AN20" s="1430"/>
      <c r="AO20" s="1430"/>
      <c r="AP20" s="1430"/>
      <c r="AQ20" s="1426">
        <v>0</v>
      </c>
    </row>
    <row r="21" spans="1:43" ht="14.25" hidden="1" customHeight="1">
      <c r="O21" s="1229"/>
      <c r="AL21" s="1560"/>
      <c r="AM21" s="1560"/>
      <c r="AN21" s="1560"/>
      <c r="AO21" s="1560"/>
      <c r="AP21" s="1560"/>
      <c r="AQ21" s="1550">
        <v>0</v>
      </c>
    </row>
    <row r="22" spans="1:43" ht="14.25" hidden="1" customHeight="1">
      <c r="O22" s="1229"/>
      <c r="AL22" s="1560"/>
      <c r="AM22" s="1560"/>
      <c r="AN22" s="1560"/>
      <c r="AO22" s="1560"/>
      <c r="AP22" s="1560"/>
      <c r="AQ22" s="1550">
        <v>0</v>
      </c>
    </row>
    <row r="23" spans="1:43" ht="14.65" customHeight="1">
      <c r="Q23" s="228"/>
      <c r="R23" s="313"/>
      <c r="S23" s="1194"/>
      <c r="T23" s="394"/>
      <c r="U23" s="394"/>
      <c r="V23" s="1554"/>
      <c r="W23" s="1554"/>
      <c r="X23" s="1554"/>
      <c r="Y23" s="1554"/>
      <c r="Z23" s="1554"/>
      <c r="AA23" s="1554"/>
      <c r="AB23" s="1554"/>
      <c r="AC23" s="1554"/>
      <c r="AD23" s="1554"/>
      <c r="AE23" s="1554"/>
      <c r="AF23" s="1554"/>
      <c r="AG23" s="1554"/>
      <c r="AH23" s="1554"/>
      <c r="AI23" s="1554"/>
      <c r="AQ23" s="1550">
        <v>14</v>
      </c>
    </row>
    <row r="24" spans="1:43" ht="39.75" customHeight="1">
      <c r="Q24" s="228"/>
      <c r="R24" s="313"/>
      <c r="S24" s="246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467"/>
      <c r="U24" s="2467"/>
      <c r="V24" s="2467"/>
      <c r="W24" s="2467"/>
      <c r="X24" s="2467"/>
      <c r="Y24" s="2467"/>
      <c r="Z24" s="2467"/>
      <c r="AA24" s="2467"/>
      <c r="AB24" s="2467"/>
      <c r="AC24" s="2467"/>
      <c r="AD24" s="2467"/>
      <c r="AE24" s="2467"/>
      <c r="AF24" s="2467"/>
      <c r="AG24" s="2467"/>
      <c r="AH24" s="2467"/>
      <c r="AI24" s="1162"/>
      <c r="AQ24" s="1550">
        <v>38</v>
      </c>
    </row>
    <row r="25" spans="1:43" ht="14.65" customHeight="1">
      <c r="Q25" s="228"/>
      <c r="R25" s="313"/>
      <c r="S25" s="2412" t="str">
        <f>IF(org=0,"Не определено",org)</f>
        <v>МУП "Водоканал"</v>
      </c>
      <c r="T25" s="2412"/>
      <c r="U25" s="2412"/>
      <c r="V25" s="2412"/>
      <c r="W25" s="2412"/>
      <c r="X25" s="2412"/>
      <c r="Y25" s="2412"/>
      <c r="Z25" s="2412"/>
      <c r="AA25" s="2412"/>
      <c r="AB25" s="2412"/>
      <c r="AC25" s="2412"/>
      <c r="AD25" s="2412"/>
      <c r="AE25" s="2412"/>
      <c r="AF25" s="2412"/>
      <c r="AG25" s="2412"/>
      <c r="AH25" s="2412"/>
      <c r="AI25" s="1162"/>
      <c r="AQ25" s="1550">
        <v>14</v>
      </c>
    </row>
    <row r="26" spans="1:43" ht="14.25" hidden="1" customHeight="1">
      <c r="Q26" s="228"/>
      <c r="R26" s="313"/>
      <c r="S26" s="1194"/>
      <c r="T26" s="394"/>
      <c r="U26" s="394"/>
      <c r="V26" s="259"/>
      <c r="W26" s="259"/>
      <c r="X26" s="259"/>
      <c r="Y26" s="259"/>
      <c r="Z26" s="259"/>
      <c r="AA26" s="259"/>
      <c r="AB26" s="259"/>
      <c r="AC26" s="259"/>
      <c r="AD26" s="259"/>
      <c r="AE26" s="259"/>
      <c r="AF26" s="259"/>
      <c r="AG26" s="259"/>
      <c r="AH26" s="259"/>
      <c r="AI26" s="259"/>
      <c r="AJ26" s="1554"/>
      <c r="AQ26" s="1550">
        <v>0</v>
      </c>
    </row>
    <row r="27" spans="1:43" s="2254" customFormat="1" ht="25.5" hidden="1" customHeight="1">
      <c r="A27" s="1167"/>
      <c r="B27" s="1167"/>
      <c r="C27" s="1167"/>
      <c r="D27" s="1167"/>
      <c r="E27" s="1167"/>
      <c r="F27" s="1167"/>
      <c r="G27" s="1167"/>
      <c r="H27" s="1167"/>
      <c r="I27" s="1167"/>
      <c r="J27" s="1167"/>
      <c r="K27" s="1167"/>
      <c r="L27" s="1299"/>
      <c r="M27" s="1167"/>
      <c r="N27" s="1167"/>
      <c r="O27" s="1167"/>
      <c r="P27" s="1287"/>
      <c r="Q27" s="1287"/>
      <c r="S27" s="2475" t="s">
        <v>41</v>
      </c>
      <c r="T27" s="2475"/>
      <c r="U27" s="1291"/>
      <c r="V27" s="2476" t="str">
        <f>IF(TITLE_NAME_OR_PR_CHANGE="",IF(TITLE_NAME_OR_PR="","",TITLE_NAME_OR_PR),TITLE_NAME_OR_PR_CHANGE)</f>
        <v/>
      </c>
      <c r="W27" s="2476"/>
      <c r="X27" s="2476"/>
      <c r="Y27" s="2476"/>
      <c r="Z27" s="2476"/>
      <c r="AA27" s="1554"/>
      <c r="AB27" s="1554"/>
      <c r="AC27" s="2476"/>
      <c r="AD27" s="2476"/>
      <c r="AE27" s="2476"/>
      <c r="AF27" s="2476"/>
      <c r="AG27" s="2476"/>
      <c r="AH27" s="2476"/>
      <c r="AI27" s="1554"/>
      <c r="AJ27" s="1554"/>
      <c r="AK27" s="217"/>
      <c r="AL27" s="305"/>
      <c r="AM27" s="305"/>
      <c r="AN27" s="305"/>
      <c r="AO27" s="305"/>
      <c r="AP27" s="305"/>
      <c r="AQ27" s="355">
        <v>0</v>
      </c>
    </row>
    <row r="28" spans="1:43" s="2254" customFormat="1" ht="18.75" hidden="1" customHeight="1">
      <c r="A28" s="1167"/>
      <c r="B28" s="1167"/>
      <c r="C28" s="1167"/>
      <c r="D28" s="1167"/>
      <c r="E28" s="1167"/>
      <c r="F28" s="1167"/>
      <c r="G28" s="1167"/>
      <c r="H28" s="1167"/>
      <c r="I28" s="1167"/>
      <c r="J28" s="1167"/>
      <c r="K28" s="1167"/>
      <c r="L28" s="1299"/>
      <c r="M28" s="1167"/>
      <c r="N28" s="1167"/>
      <c r="O28" s="1167"/>
      <c r="P28" s="1287"/>
      <c r="Q28" s="1287"/>
      <c r="S28" s="2475" t="s">
        <v>421</v>
      </c>
      <c r="T28" s="2475"/>
      <c r="U28" s="1291"/>
      <c r="V28" s="2485" t="str">
        <f>IF(TITLE_DATE_PR_CHANGE="",IF(TITLE_DATE_PR="","",TITLE_DATE_PR),TITLE_DATE_PR_CHANGE)</f>
        <v/>
      </c>
      <c r="W28" s="2485"/>
      <c r="X28" s="2485"/>
      <c r="Y28" s="2485"/>
      <c r="Z28" s="2485"/>
      <c r="AA28" s="1554"/>
      <c r="AB28" s="1554"/>
      <c r="AC28" s="2485"/>
      <c r="AD28" s="2485"/>
      <c r="AE28" s="2485"/>
      <c r="AF28" s="2485"/>
      <c r="AG28" s="2485"/>
      <c r="AH28" s="2485"/>
      <c r="AI28" s="1554"/>
      <c r="AJ28" s="1554"/>
      <c r="AK28" s="217"/>
      <c r="AL28" s="305"/>
      <c r="AM28" s="305"/>
      <c r="AN28" s="305"/>
      <c r="AO28" s="305"/>
      <c r="AP28" s="305"/>
      <c r="AQ28" s="355">
        <v>0</v>
      </c>
    </row>
    <row r="29" spans="1:43" s="2254" customFormat="1" ht="18.75" hidden="1" customHeight="1">
      <c r="A29" s="1167"/>
      <c r="B29" s="1167"/>
      <c r="C29" s="1167"/>
      <c r="D29" s="1167"/>
      <c r="E29" s="1167"/>
      <c r="F29" s="1167"/>
      <c r="G29" s="1167"/>
      <c r="H29" s="1167"/>
      <c r="I29" s="1167"/>
      <c r="J29" s="1167"/>
      <c r="K29" s="1167"/>
      <c r="L29" s="1299"/>
      <c r="M29" s="1167"/>
      <c r="N29" s="1167"/>
      <c r="O29" s="1167"/>
      <c r="P29" s="1287"/>
      <c r="Q29" s="1287"/>
      <c r="S29" s="2475" t="s">
        <v>422</v>
      </c>
      <c r="T29" s="2475"/>
      <c r="U29" s="1291"/>
      <c r="V29" s="2476" t="str">
        <f>IF(TITLE_NUMBER_PR_CHANGE="",IF(TITLE_NUMBER_PR="","",TITLE_NUMBER_PR),TITLE_NUMBER_PR_CHANGE)</f>
        <v/>
      </c>
      <c r="W29" s="2476"/>
      <c r="X29" s="2476"/>
      <c r="Y29" s="2476"/>
      <c r="Z29" s="2476"/>
      <c r="AA29" s="1554"/>
      <c r="AB29" s="1554"/>
      <c r="AC29" s="2476"/>
      <c r="AD29" s="2476"/>
      <c r="AE29" s="2476"/>
      <c r="AF29" s="2476"/>
      <c r="AG29" s="2476"/>
      <c r="AH29" s="2476"/>
      <c r="AI29" s="1554"/>
      <c r="AJ29" s="1554"/>
      <c r="AK29" s="217"/>
      <c r="AL29" s="305"/>
      <c r="AM29" s="305"/>
      <c r="AN29" s="305"/>
      <c r="AO29" s="305"/>
      <c r="AP29" s="305"/>
      <c r="AQ29" s="355">
        <v>0</v>
      </c>
    </row>
    <row r="30" spans="1:43" s="2254" customFormat="1" ht="18.75" hidden="1" customHeight="1">
      <c r="A30" s="1167"/>
      <c r="B30" s="1167"/>
      <c r="C30" s="1167"/>
      <c r="D30" s="1167"/>
      <c r="E30" s="1167"/>
      <c r="F30" s="1167"/>
      <c r="G30" s="1167"/>
      <c r="H30" s="1167"/>
      <c r="I30" s="1167"/>
      <c r="J30" s="1167"/>
      <c r="K30" s="1167"/>
      <c r="L30" s="1299"/>
      <c r="M30" s="1167"/>
      <c r="N30" s="1167"/>
      <c r="O30" s="1167"/>
      <c r="P30" s="1287"/>
      <c r="Q30" s="1287"/>
      <c r="S30" s="2475" t="s">
        <v>42</v>
      </c>
      <c r="T30" s="2475"/>
      <c r="U30" s="1291"/>
      <c r="V30" s="2476" t="str">
        <f>IF(TITLE_IST_PUB_CHANGE="",IF(TITLE_IST_PUB="","",TITLE_IST_PUB),TITLE_IST_PUB_CHANGE)</f>
        <v/>
      </c>
      <c r="W30" s="2476"/>
      <c r="X30" s="2476"/>
      <c r="Y30" s="2476"/>
      <c r="Z30" s="2476"/>
      <c r="AA30" s="1554"/>
      <c r="AB30" s="1554"/>
      <c r="AC30" s="2476"/>
      <c r="AD30" s="2476"/>
      <c r="AE30" s="2476"/>
      <c r="AF30" s="2476"/>
      <c r="AG30" s="2476"/>
      <c r="AH30" s="2476"/>
      <c r="AI30" s="1554"/>
      <c r="AJ30" s="1554"/>
      <c r="AK30" s="217"/>
      <c r="AL30" s="305"/>
      <c r="AM30" s="305"/>
      <c r="AN30" s="305"/>
      <c r="AO30" s="305"/>
      <c r="AP30" s="305"/>
      <c r="AQ30" s="355">
        <v>0</v>
      </c>
    </row>
    <row r="31" spans="1:43" ht="14.25" hidden="1" customHeight="1">
      <c r="Q31" s="228"/>
      <c r="R31" s="313"/>
      <c r="S31" s="1194"/>
      <c r="T31" s="394"/>
      <c r="U31" s="394"/>
      <c r="V31" s="259"/>
      <c r="W31" s="259"/>
      <c r="X31" s="259"/>
      <c r="Y31" s="259"/>
      <c r="Z31" s="259"/>
      <c r="AA31" s="259"/>
      <c r="AB31" s="259"/>
      <c r="AC31" s="259"/>
      <c r="AD31" s="259"/>
      <c r="AE31" s="259"/>
      <c r="AF31" s="259"/>
      <c r="AG31" s="259"/>
      <c r="AH31" s="259"/>
      <c r="AI31" s="259"/>
      <c r="AJ31" s="1554"/>
      <c r="AQ31" s="1550">
        <v>0</v>
      </c>
    </row>
    <row r="32" spans="1:43" s="2254" customFormat="1" ht="18.75" hidden="1" customHeight="1">
      <c r="A32" s="1167"/>
      <c r="B32" s="1167"/>
      <c r="C32" s="1167"/>
      <c r="D32" s="1167"/>
      <c r="E32" s="1167"/>
      <c r="F32" s="1167"/>
      <c r="G32" s="1167"/>
      <c r="H32" s="1167"/>
      <c r="I32" s="1167"/>
      <c r="J32" s="1167"/>
      <c r="K32" s="1167"/>
      <c r="L32" s="1299"/>
      <c r="M32" s="1167"/>
      <c r="N32" s="1167"/>
      <c r="O32" s="1167"/>
      <c r="P32" s="1287"/>
      <c r="Q32" s="1287"/>
      <c r="S32" s="2475" t="s">
        <v>421</v>
      </c>
      <c r="T32" s="2475"/>
      <c r="U32" s="1291"/>
      <c r="V32" s="2485" t="str">
        <f>IF(TITLE_DATE_PR_CHANGE="",IF(TITLE_DATE_PR="","",TITLE_DATE_PR),TITLE_DATE_PR_CHANGE)</f>
        <v/>
      </c>
      <c r="W32" s="2485"/>
      <c r="X32" s="2485"/>
      <c r="Y32" s="2485"/>
      <c r="Z32" s="2485"/>
      <c r="AA32" s="1554"/>
      <c r="AB32" s="1554"/>
      <c r="AC32" s="2485"/>
      <c r="AD32" s="2485"/>
      <c r="AE32" s="2485"/>
      <c r="AF32" s="2485"/>
      <c r="AG32" s="2485"/>
      <c r="AH32" s="2485"/>
      <c r="AI32" s="1554"/>
      <c r="AJ32" s="1554"/>
      <c r="AK32" s="217"/>
      <c r="AL32" s="305"/>
      <c r="AM32" s="305"/>
      <c r="AN32" s="305"/>
      <c r="AO32" s="305"/>
      <c r="AP32" s="305"/>
      <c r="AQ32" s="355">
        <v>0</v>
      </c>
    </row>
    <row r="33" spans="1:43" s="2254" customFormat="1" ht="18" hidden="1" customHeight="1">
      <c r="A33" s="1167"/>
      <c r="B33" s="1167"/>
      <c r="C33" s="1167"/>
      <c r="D33" s="1167"/>
      <c r="E33" s="1167"/>
      <c r="F33" s="1167"/>
      <c r="G33" s="1167"/>
      <c r="H33" s="1167"/>
      <c r="I33" s="1167"/>
      <c r="J33" s="1167"/>
      <c r="K33" s="1167"/>
      <c r="L33" s="1299"/>
      <c r="M33" s="1167"/>
      <c r="N33" s="1167"/>
      <c r="O33" s="1167"/>
      <c r="P33" s="1287"/>
      <c r="Q33" s="1287"/>
      <c r="S33" s="2475" t="s">
        <v>422</v>
      </c>
      <c r="T33" s="2475"/>
      <c r="U33" s="1291"/>
      <c r="V33" s="2476" t="str">
        <f>IF(TITLE_NUMBER_PR_CHANGE="",IF(TITLE_NUMBER_PR="","",TITLE_NUMBER_PR),TITLE_NUMBER_PR_CHANGE)</f>
        <v/>
      </c>
      <c r="W33" s="2476"/>
      <c r="X33" s="2476"/>
      <c r="Y33" s="2476"/>
      <c r="Z33" s="2476"/>
      <c r="AA33" s="1554"/>
      <c r="AB33" s="1554"/>
      <c r="AC33" s="2476"/>
      <c r="AD33" s="2476"/>
      <c r="AE33" s="2476"/>
      <c r="AF33" s="2476"/>
      <c r="AG33" s="2476"/>
      <c r="AH33" s="2476"/>
      <c r="AI33" s="1554"/>
      <c r="AJ33" s="1554"/>
      <c r="AK33" s="217"/>
      <c r="AL33" s="305"/>
      <c r="AM33" s="305"/>
      <c r="AN33" s="305"/>
      <c r="AO33" s="305"/>
      <c r="AP33" s="305"/>
      <c r="AQ33" s="355">
        <v>0</v>
      </c>
    </row>
    <row r="34" spans="1:43" s="2254" customFormat="1" ht="1.1499999999999999" customHeight="1">
      <c r="A34" s="1167"/>
      <c r="B34" s="1167"/>
      <c r="C34" s="1167"/>
      <c r="D34" s="1167"/>
      <c r="E34" s="1167"/>
      <c r="F34" s="1167"/>
      <c r="G34" s="1167"/>
      <c r="H34" s="1167"/>
      <c r="I34" s="1167"/>
      <c r="J34" s="1167"/>
      <c r="K34" s="1167"/>
      <c r="L34" s="1299"/>
      <c r="M34" s="1167"/>
      <c r="N34" s="1167"/>
      <c r="O34" s="1167"/>
      <c r="P34" s="1287"/>
      <c r="Q34" s="1287"/>
      <c r="S34" s="1554"/>
      <c r="T34" s="1554"/>
      <c r="U34" s="1883"/>
      <c r="V34" s="1554"/>
      <c r="W34" s="1554"/>
      <c r="X34" s="1554"/>
      <c r="Y34" s="1554"/>
      <c r="Z34" s="1554"/>
      <c r="AA34" s="1561" t="s">
        <v>425</v>
      </c>
      <c r="AB34" s="1561"/>
      <c r="AC34" s="1554"/>
      <c r="AD34" s="1554"/>
      <c r="AE34" s="1554"/>
      <c r="AF34" s="1554"/>
      <c r="AG34" s="1554"/>
      <c r="AH34" s="1554"/>
      <c r="AI34" s="1561" t="s">
        <v>425</v>
      </c>
      <c r="AL34" s="305"/>
      <c r="AM34" s="305"/>
      <c r="AN34" s="305"/>
      <c r="AO34" s="305"/>
      <c r="AP34" s="305"/>
      <c r="AQ34" s="355">
        <v>1</v>
      </c>
    </row>
    <row r="35" spans="1:43" ht="14.65" customHeight="1">
      <c r="Q35" s="228"/>
      <c r="R35" s="313"/>
      <c r="S35" s="1194"/>
      <c r="T35" s="394"/>
      <c r="U35" s="1163"/>
      <c r="V35" s="2477"/>
      <c r="W35" s="2477"/>
      <c r="X35" s="2477"/>
      <c r="Y35" s="2477"/>
      <c r="Z35" s="2477"/>
      <c r="AA35" s="2477"/>
      <c r="AB35" s="1870"/>
      <c r="AC35" s="2477"/>
      <c r="AD35" s="2477"/>
      <c r="AE35" s="2477"/>
      <c r="AF35" s="2477"/>
      <c r="AG35" s="2477"/>
      <c r="AH35" s="2477"/>
      <c r="AI35" s="2477"/>
      <c r="AQ35" s="1550">
        <v>14</v>
      </c>
    </row>
    <row r="36" spans="1:43" ht="14.65" customHeight="1">
      <c r="Q36" s="228"/>
      <c r="R36" s="313"/>
      <c r="S36" s="2363" t="s">
        <v>298</v>
      </c>
      <c r="T36" s="2363"/>
      <c r="U36" s="2363"/>
      <c r="V36" s="2363"/>
      <c r="W36" s="2363"/>
      <c r="X36" s="2363"/>
      <c r="Y36" s="2363"/>
      <c r="Z36" s="2363"/>
      <c r="AA36" s="2411"/>
      <c r="AB36" s="2411"/>
      <c r="AC36" s="2411"/>
      <c r="AD36" s="2363"/>
      <c r="AE36" s="2363"/>
      <c r="AF36" s="2363"/>
      <c r="AG36" s="2363"/>
      <c r="AH36" s="2363"/>
      <c r="AI36" s="2363"/>
      <c r="AJ36" s="2363"/>
      <c r="AK36" s="2363" t="s">
        <v>299</v>
      </c>
      <c r="AQ36" s="1550">
        <v>14</v>
      </c>
    </row>
    <row r="37" spans="1:43" ht="14.65" customHeight="1">
      <c r="Q37" s="228"/>
      <c r="R37" s="313"/>
      <c r="S37" s="2491" t="s">
        <v>87</v>
      </c>
      <c r="T37" s="2442" t="s">
        <v>497</v>
      </c>
      <c r="U37" s="274"/>
      <c r="V37" s="2493"/>
      <c r="W37" s="2493"/>
      <c r="X37" s="2493"/>
      <c r="Y37" s="2493"/>
      <c r="Z37" s="2493"/>
      <c r="AA37" s="2442" t="s">
        <v>428</v>
      </c>
      <c r="AB37" s="2441" t="s">
        <v>498</v>
      </c>
      <c r="AC37" s="2441" t="s">
        <v>472</v>
      </c>
      <c r="AD37" s="2509" t="s">
        <v>427</v>
      </c>
      <c r="AE37" s="2509"/>
      <c r="AF37" s="2493"/>
      <c r="AG37" s="2493"/>
      <c r="AH37" s="2494"/>
      <c r="AI37" s="2495" t="s">
        <v>428</v>
      </c>
      <c r="AJ37" s="2498" t="s">
        <v>430</v>
      </c>
      <c r="AK37" s="2363"/>
      <c r="AQ37" s="1550">
        <v>14</v>
      </c>
    </row>
    <row r="38" spans="1:43" ht="35.65" customHeight="1">
      <c r="Q38" s="228"/>
      <c r="R38" s="313"/>
      <c r="S38" s="2491"/>
      <c r="T38" s="2442"/>
      <c r="U38" s="955"/>
      <c r="V38" s="2334" t="s">
        <v>475</v>
      </c>
      <c r="W38" s="2363"/>
      <c r="X38" s="2428" t="s">
        <v>434</v>
      </c>
      <c r="Y38" s="2523"/>
      <c r="Z38" s="2523"/>
      <c r="AA38" s="2442"/>
      <c r="AB38" s="2441"/>
      <c r="AC38" s="2441"/>
      <c r="AD38" s="2334" t="s">
        <v>475</v>
      </c>
      <c r="AE38" s="2363"/>
      <c r="AF38" s="2523" t="s">
        <v>434</v>
      </c>
      <c r="AG38" s="2523"/>
      <c r="AH38" s="2429"/>
      <c r="AI38" s="2496"/>
      <c r="AJ38" s="2499"/>
      <c r="AK38" s="2363"/>
      <c r="AQ38" s="1550">
        <v>34</v>
      </c>
    </row>
    <row r="39" spans="1:43" ht="14.65" customHeight="1">
      <c r="Q39" s="228"/>
      <c r="R39" s="313"/>
      <c r="S39" s="2491"/>
      <c r="T39" s="2442"/>
      <c r="U39" s="955"/>
      <c r="V39" s="2540" t="str">
        <f>IF($AD$39&lt;&gt;"",$AD$39,"")</f>
        <v/>
      </c>
      <c r="W39" s="2540"/>
      <c r="X39" s="2433"/>
      <c r="Y39" s="2524"/>
      <c r="Z39" s="2524"/>
      <c r="AA39" s="2442"/>
      <c r="AB39" s="2441"/>
      <c r="AC39" s="2441"/>
      <c r="AD39" s="2556"/>
      <c r="AE39" s="2539"/>
      <c r="AF39" s="2524"/>
      <c r="AG39" s="2524"/>
      <c r="AH39" s="2434"/>
      <c r="AI39" s="2496"/>
      <c r="AJ39" s="2499"/>
      <c r="AK39" s="2363"/>
      <c r="AQ39" s="1550">
        <v>14</v>
      </c>
    </row>
    <row r="40" spans="1:43" ht="14.65" customHeight="1">
      <c r="A40" s="1185"/>
      <c r="B40" s="1185" t="s">
        <v>135</v>
      </c>
      <c r="C40" s="1185" t="s">
        <v>136</v>
      </c>
      <c r="D40" s="1185" t="s">
        <v>137</v>
      </c>
      <c r="E40" s="1229" t="s">
        <v>435</v>
      </c>
      <c r="F40" s="1229" t="s">
        <v>436</v>
      </c>
      <c r="G40" s="1229" t="s">
        <v>437</v>
      </c>
      <c r="H40" s="1229" t="s">
        <v>438</v>
      </c>
      <c r="I40" s="1229" t="s">
        <v>439</v>
      </c>
      <c r="J40" s="1229" t="s">
        <v>440</v>
      </c>
      <c r="K40" s="1229" t="s">
        <v>441</v>
      </c>
      <c r="L40" s="1229" t="s">
        <v>416</v>
      </c>
      <c r="Q40" s="228"/>
      <c r="R40" s="313"/>
      <c r="S40" s="2491"/>
      <c r="T40" s="2442"/>
      <c r="U40" s="239"/>
      <c r="V40" s="1863" t="s">
        <v>476</v>
      </c>
      <c r="W40" s="1863" t="s">
        <v>477</v>
      </c>
      <c r="X40" s="1851" t="s">
        <v>444</v>
      </c>
      <c r="Y40" s="2451" t="s">
        <v>445</v>
      </c>
      <c r="Z40" s="2452"/>
      <c r="AA40" s="2442"/>
      <c r="AB40" s="2441"/>
      <c r="AC40" s="2441"/>
      <c r="AD40" s="1881" t="s">
        <v>476</v>
      </c>
      <c r="AE40" s="1872" t="s">
        <v>477</v>
      </c>
      <c r="AF40" s="1851" t="s">
        <v>444</v>
      </c>
      <c r="AG40" s="2451" t="s">
        <v>445</v>
      </c>
      <c r="AH40" s="2453"/>
      <c r="AI40" s="2497"/>
      <c r="AJ40" s="2500"/>
      <c r="AK40" s="2363"/>
      <c r="AQ40" s="1550">
        <v>14</v>
      </c>
    </row>
    <row r="41" spans="1:43" s="2269" customFormat="1" ht="11.25" hidden="1" customHeight="1">
      <c r="A41" s="1185"/>
      <c r="B41" s="1185"/>
      <c r="C41" s="1185"/>
      <c r="D41" s="1185"/>
      <c r="E41" s="1185"/>
      <c r="F41" s="1185"/>
      <c r="G41" s="1185"/>
      <c r="H41" s="1185"/>
      <c r="I41" s="1185"/>
      <c r="J41" s="1185"/>
      <c r="K41" s="1185"/>
      <c r="L41" s="1229"/>
      <c r="M41" s="1878"/>
      <c r="N41" s="1878"/>
      <c r="O41" s="1878"/>
      <c r="P41" s="447"/>
      <c r="Q41" s="1173"/>
      <c r="R41" s="1173">
        <v>1</v>
      </c>
      <c r="S41" s="1196" t="s">
        <v>108</v>
      </c>
      <c r="T41" s="1174" t="s">
        <v>109</v>
      </c>
      <c r="U41" s="1164" t="str">
        <f ca="1">OFFSET(U41,0,-1)</f>
        <v>2</v>
      </c>
      <c r="V41" s="1869">
        <f ca="1">OFFSET(V41,0,-1)+1</f>
        <v>3</v>
      </c>
      <c r="W41" s="1869">
        <f ca="1">OFFSET(W41,0,-1)+1</f>
        <v>4</v>
      </c>
      <c r="X41" s="1869">
        <f ca="1">OFFSET(X41,0,-1)+1</f>
        <v>5</v>
      </c>
      <c r="Y41" s="2490">
        <f ca="1">OFFSET(Y41,0,-1)+1</f>
        <v>6</v>
      </c>
      <c r="Z41" s="2490"/>
      <c r="AA41" s="1260">
        <f ca="1">OFFSET(AA41,0,-2)+1</f>
        <v>7</v>
      </c>
      <c r="AB41" s="1260"/>
      <c r="AC41" s="1260"/>
      <c r="AD41" s="1869">
        <f ca="1">OFFSET(AD41,0,-1)+1</f>
        <v>1</v>
      </c>
      <c r="AE41" s="1869">
        <f ca="1">OFFSET(AE41,0,-1)+1</f>
        <v>2</v>
      </c>
      <c r="AF41" s="1869">
        <f ca="1">OFFSET(AF41,0,-1)+1</f>
        <v>3</v>
      </c>
      <c r="AG41" s="2490">
        <f ca="1">OFFSET(AG41,0,-1)+1</f>
        <v>4</v>
      </c>
      <c r="AH41" s="2490"/>
      <c r="AI41" s="1869">
        <f ca="1">OFFSET(AI41,0,-2)+1</f>
        <v>5</v>
      </c>
      <c r="AJ41" s="1164">
        <f ca="1">OFFSET(AJ41,0,-1)</f>
        <v>5</v>
      </c>
      <c r="AK41" s="1869">
        <f ca="1">OFFSET(AK41,0,-1)+1</f>
        <v>6</v>
      </c>
      <c r="AL41" s="1555"/>
      <c r="AM41" s="1555"/>
      <c r="AN41" s="1555"/>
      <c r="AO41" s="1555"/>
      <c r="AP41" s="1555"/>
      <c r="AQ41" s="1560">
        <v>0</v>
      </c>
    </row>
    <row r="42" spans="1:43" ht="107.25" customHeight="1">
      <c r="A42" s="1186" t="s">
        <v>204</v>
      </c>
      <c r="B42" s="1186"/>
      <c r="C42" s="1186"/>
      <c r="D42" s="1186"/>
      <c r="E42" s="2507">
        <v>1</v>
      </c>
      <c r="F42" s="1186"/>
      <c r="G42" s="1186"/>
      <c r="H42" s="1186"/>
      <c r="I42" s="1186"/>
      <c r="J42" s="1186"/>
      <c r="K42" s="1186"/>
      <c r="L42" s="1229"/>
      <c r="M42" s="1529"/>
      <c r="N42" s="1529"/>
      <c r="O42" s="1529"/>
      <c r="P42" s="1328"/>
      <c r="Q42" s="800"/>
      <c r="R42" s="292"/>
      <c r="S42" s="1871">
        <f>INDEX(PT_DIFFERENTIATION_NUM_NTAR,MATCH(A42,PT_DIFFERENTIATION_NTAR_ID,0))</f>
        <v>0</v>
      </c>
      <c r="T42" s="1444" t="s">
        <v>123</v>
      </c>
      <c r="U42" s="237"/>
      <c r="V42" s="2470"/>
      <c r="W42" s="2470"/>
      <c r="X42" s="2470"/>
      <c r="Y42" s="2470"/>
      <c r="Z42" s="2470"/>
      <c r="AA42" s="2471"/>
      <c r="AB42" s="1865"/>
      <c r="AC42" s="2470" t="str">
        <f>INDEX(PT_DIFFERENTIATION_NTAR,MATCH(A42,PT_DIFFERENTIATION_NTAR_ID,0))</f>
        <v/>
      </c>
      <c r="AD42" s="2470"/>
      <c r="AE42" s="2470"/>
      <c r="AF42" s="2470"/>
      <c r="AG42" s="2470"/>
      <c r="AH42" s="2470"/>
      <c r="AI42" s="2470"/>
      <c r="AJ42" s="2471"/>
      <c r="AK42"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3"/>
      <c r="AN42" s="1543" t="str">
        <f t="shared" ref="AN42:AN56" si="1">IF(T42="","",T42)</f>
        <v>Наименование тарифа</v>
      </c>
      <c r="AO42" s="1543"/>
      <c r="AP42" s="1543"/>
      <c r="AQ42" s="1550">
        <v>102</v>
      </c>
    </row>
    <row r="43" spans="1:43" ht="21.95" customHeight="1">
      <c r="A43" s="1186" t="s">
        <v>204</v>
      </c>
      <c r="B43" s="1186" t="s">
        <v>205</v>
      </c>
      <c r="C43" s="1186"/>
      <c r="D43" s="1186"/>
      <c r="E43" s="2508"/>
      <c r="F43" s="2507">
        <v>1</v>
      </c>
      <c r="G43" s="1186"/>
      <c r="H43" s="1186"/>
      <c r="I43" s="1186"/>
      <c r="J43" s="1186"/>
      <c r="K43" s="1186"/>
      <c r="L43" s="1229"/>
      <c r="M43" s="1529"/>
      <c r="N43" s="1529"/>
      <c r="O43" s="1529"/>
      <c r="P43" s="1882"/>
      <c r="Q43" s="1330"/>
      <c r="R43" s="290"/>
      <c r="S43" s="1871" t="str">
        <f>INDEX(PT_DIFFERENTIATION_NUM_TER,MATCH(B43,PT_DIFFERENTIATION_TER_ID,0))</f>
        <v>.</v>
      </c>
      <c r="T43" s="1441" t="s">
        <v>395</v>
      </c>
      <c r="U43" s="237"/>
      <c r="V43" s="2470"/>
      <c r="W43" s="2470"/>
      <c r="X43" s="2470"/>
      <c r="Y43" s="2470"/>
      <c r="Z43" s="2470"/>
      <c r="AA43" s="2471"/>
      <c r="AB43" s="1865"/>
      <c r="AC43" s="2470" t="str">
        <f>INDEX(PT_DIFFERENTIATION_TER,MATCH(B43,PT_DIFFERENTIATION_TER_ID,0))</f>
        <v/>
      </c>
      <c r="AD43" s="2470"/>
      <c r="AE43" s="2470"/>
      <c r="AF43" s="2470"/>
      <c r="AG43" s="2470"/>
      <c r="AH43" s="2470"/>
      <c r="AI43" s="2470"/>
      <c r="AJ43" s="2471"/>
      <c r="AK43" s="1177" t="s">
        <v>396</v>
      </c>
      <c r="AM43" s="1543"/>
      <c r="AN43" s="1543" t="str">
        <f t="shared" si="1"/>
        <v>Территория действия тарифа</v>
      </c>
      <c r="AO43" s="1543"/>
      <c r="AP43" s="1543"/>
      <c r="AQ43" s="1550">
        <v>21</v>
      </c>
    </row>
    <row r="44" spans="1:43" ht="24" customHeight="1">
      <c r="A44" s="1186" t="s">
        <v>204</v>
      </c>
      <c r="B44" s="1186" t="s">
        <v>205</v>
      </c>
      <c r="C44" s="1186" t="s">
        <v>206</v>
      </c>
      <c r="D44" s="1186"/>
      <c r="E44" s="2508"/>
      <c r="F44" s="2508"/>
      <c r="G44" s="2507">
        <v>1</v>
      </c>
      <c r="H44" s="1186"/>
      <c r="I44" s="1186"/>
      <c r="J44" s="1186"/>
      <c r="K44" s="1186"/>
      <c r="L44" s="1229"/>
      <c r="M44" s="1529"/>
      <c r="N44" s="1529"/>
      <c r="O44" s="1529"/>
      <c r="P44" s="1331"/>
      <c r="Q44" s="1330"/>
      <c r="R44" s="290"/>
      <c r="S44" s="1871" t="str">
        <f>INDEX(PT_DIFFERENTIATION_NUM_CS,MATCH(C44,PT_DIFFERENTIATION_CS_ID,0))</f>
        <v>..</v>
      </c>
      <c r="T44" s="246" t="s">
        <v>397</v>
      </c>
      <c r="U44" s="237"/>
      <c r="V44" s="2470"/>
      <c r="W44" s="2470"/>
      <c r="X44" s="2470"/>
      <c r="Y44" s="2470"/>
      <c r="Z44" s="2470"/>
      <c r="AA44" s="2471"/>
      <c r="AB44" s="1865"/>
      <c r="AC44" s="2470" t="str">
        <f>INDEX(PT_DIFFERENTIATION_CS,MATCH(C44,PT_DIFFERENTIATION_CS_ID,0))</f>
        <v/>
      </c>
      <c r="AD44" s="2470"/>
      <c r="AE44" s="2470"/>
      <c r="AF44" s="2470"/>
      <c r="AG44" s="2470"/>
      <c r="AH44" s="2470"/>
      <c r="AI44" s="2470"/>
      <c r="AJ44" s="2471"/>
      <c r="AK44" s="1177" t="s">
        <v>398</v>
      </c>
      <c r="AM44" s="1543"/>
      <c r="AN44" s="1543" t="str">
        <f t="shared" si="1"/>
        <v xml:space="preserve">Наименование системы теплоснабжения </v>
      </c>
      <c r="AO44" s="1543"/>
      <c r="AP44" s="1543"/>
      <c r="AQ44" s="1550">
        <v>23</v>
      </c>
    </row>
    <row r="45" spans="1:43" ht="21.95" customHeight="1">
      <c r="A45" s="1186" t="s">
        <v>204</v>
      </c>
      <c r="B45" s="1186" t="s">
        <v>205</v>
      </c>
      <c r="C45" s="1186" t="s">
        <v>206</v>
      </c>
      <c r="D45" s="1186" t="s">
        <v>207</v>
      </c>
      <c r="E45" s="2508"/>
      <c r="F45" s="2508"/>
      <c r="G45" s="2508"/>
      <c r="H45" s="2507">
        <v>1</v>
      </c>
      <c r="I45" s="1186"/>
      <c r="J45" s="1186"/>
      <c r="K45" s="1186"/>
      <c r="L45" s="1229"/>
      <c r="M45" s="1529"/>
      <c r="N45" s="1529"/>
      <c r="O45" s="1529"/>
      <c r="P45" s="1331"/>
      <c r="Q45" s="1330"/>
      <c r="R45" s="290"/>
      <c r="S45" s="1871" t="str">
        <f>INDEX(PT_DIFFERENTIATION_NUM_IST_TE,MATCH(D45,PT_DIFFERENTIATION_IST_TE_ID,0))</f>
        <v>...</v>
      </c>
      <c r="T45" s="247" t="s">
        <v>399</v>
      </c>
      <c r="U45" s="237"/>
      <c r="V45" s="2470"/>
      <c r="W45" s="2470"/>
      <c r="X45" s="2470"/>
      <c r="Y45" s="2470"/>
      <c r="Z45" s="2470"/>
      <c r="AA45" s="2471"/>
      <c r="AB45" s="1865"/>
      <c r="AC45" s="2470" t="str">
        <f>INDEX(PT_DIFFERENTIATION_IST_TE,MATCH(D45,PT_DIFFERENTIATION_IST_TE_ID,0))</f>
        <v/>
      </c>
      <c r="AD45" s="2470"/>
      <c r="AE45" s="2470"/>
      <c r="AF45" s="2470"/>
      <c r="AG45" s="2470"/>
      <c r="AH45" s="2470"/>
      <c r="AI45" s="2470"/>
      <c r="AJ45" s="2471"/>
      <c r="AK45" s="1177" t="s">
        <v>400</v>
      </c>
      <c r="AM45" s="1543"/>
      <c r="AN45" s="1543" t="str">
        <f t="shared" si="1"/>
        <v xml:space="preserve">Источник тепловой энергии  </v>
      </c>
      <c r="AO45" s="1543"/>
      <c r="AP45" s="1543"/>
      <c r="AQ45" s="1550">
        <v>21</v>
      </c>
    </row>
    <row r="46" spans="1:43" s="2245" customFormat="1" ht="0" hidden="1" customHeight="1">
      <c r="A46" s="1294" t="s">
        <v>204</v>
      </c>
      <c r="B46" s="1294" t="s">
        <v>205</v>
      </c>
      <c r="C46" s="1294" t="s">
        <v>206</v>
      </c>
      <c r="D46" s="1294" t="s">
        <v>207</v>
      </c>
      <c r="E46" s="2508"/>
      <c r="F46" s="2508"/>
      <c r="G46" s="2508"/>
      <c r="H46" s="2508"/>
      <c r="I46" s="2363" t="str">
        <f>S45&amp;".1"</f>
        <v>....1</v>
      </c>
      <c r="J46" s="1294"/>
      <c r="K46" s="1294"/>
      <c r="L46" s="1300" t="s">
        <v>401</v>
      </c>
      <c r="M46" s="1165"/>
      <c r="N46" s="1165"/>
      <c r="O46" s="1165"/>
      <c r="P46" s="2482">
        <v>1</v>
      </c>
      <c r="Q46" s="1867"/>
      <c r="R46" s="293"/>
      <c r="S46" s="966"/>
      <c r="T46" s="1302"/>
      <c r="U46" s="1303"/>
      <c r="V46" s="2513"/>
      <c r="W46" s="2513"/>
      <c r="X46" s="2513"/>
      <c r="Y46" s="2513"/>
      <c r="Z46" s="2513"/>
      <c r="AA46" s="2514"/>
      <c r="AB46" s="1873"/>
      <c r="AC46" s="2513"/>
      <c r="AD46" s="2513"/>
      <c r="AE46" s="2513"/>
      <c r="AF46" s="2513"/>
      <c r="AG46" s="2513"/>
      <c r="AH46" s="2513"/>
      <c r="AI46" s="2513"/>
      <c r="AJ46" s="2514"/>
      <c r="AK46" s="1304"/>
      <c r="AM46" s="1543"/>
      <c r="AN46" s="1543" t="str">
        <f t="shared" si="1"/>
        <v/>
      </c>
      <c r="AO46" s="1543"/>
      <c r="AP46" s="1543"/>
      <c r="AQ46" s="1555">
        <v>0</v>
      </c>
    </row>
    <row r="47" spans="1:43" s="2245" customFormat="1" ht="0" hidden="1" customHeight="1">
      <c r="A47" s="1294" t="s">
        <v>204</v>
      </c>
      <c r="B47" s="1294" t="s">
        <v>205</v>
      </c>
      <c r="C47" s="1294" t="s">
        <v>206</v>
      </c>
      <c r="D47" s="1294" t="s">
        <v>207</v>
      </c>
      <c r="E47" s="2508"/>
      <c r="F47" s="2508"/>
      <c r="G47" s="2508"/>
      <c r="H47" s="2508"/>
      <c r="I47" s="2335"/>
      <c r="J47" s="2363" t="str">
        <f>S45&amp;".1"</f>
        <v>....1</v>
      </c>
      <c r="K47" s="1294"/>
      <c r="L47" s="1300"/>
      <c r="M47" s="1165"/>
      <c r="N47" s="1165"/>
      <c r="O47" s="1165"/>
      <c r="P47" s="2482"/>
      <c r="Q47" s="2482">
        <v>1</v>
      </c>
      <c r="R47" s="294"/>
      <c r="S47" s="966"/>
      <c r="T47" s="1318"/>
      <c r="U47" s="1303"/>
      <c r="V47" s="2513"/>
      <c r="W47" s="2513"/>
      <c r="X47" s="2513"/>
      <c r="Y47" s="2513"/>
      <c r="Z47" s="2513"/>
      <c r="AA47" s="2514"/>
      <c r="AB47" s="1873"/>
      <c r="AC47" s="2513"/>
      <c r="AD47" s="2513"/>
      <c r="AE47" s="2513"/>
      <c r="AF47" s="2513"/>
      <c r="AG47" s="2513"/>
      <c r="AH47" s="2513"/>
      <c r="AI47" s="2513"/>
      <c r="AJ47" s="2514"/>
      <c r="AK47" s="1304"/>
      <c r="AM47" s="1543"/>
      <c r="AN47" s="1543" t="str">
        <f t="shared" si="1"/>
        <v/>
      </c>
      <c r="AO47" s="1543"/>
      <c r="AP47" s="1543"/>
      <c r="AQ47" s="1555">
        <v>0</v>
      </c>
    </row>
    <row r="48" spans="1:43" ht="21.95" customHeight="1">
      <c r="A48" s="1186" t="s">
        <v>204</v>
      </c>
      <c r="B48" s="1186" t="s">
        <v>205</v>
      </c>
      <c r="C48" s="1186" t="s">
        <v>206</v>
      </c>
      <c r="D48" s="1186" t="s">
        <v>207</v>
      </c>
      <c r="E48" s="2508"/>
      <c r="F48" s="2508"/>
      <c r="G48" s="2508"/>
      <c r="H48" s="2508"/>
      <c r="I48" s="2335"/>
      <c r="J48" s="2335"/>
      <c r="K48" s="1854" t="str">
        <f>S45&amp;".1"</f>
        <v>....1</v>
      </c>
      <c r="L48" s="1229"/>
      <c r="P48" s="2482"/>
      <c r="Q48" s="2482"/>
      <c r="R48" s="294">
        <v>1</v>
      </c>
      <c r="S48" s="1875" t="str">
        <f>$K48</f>
        <v>....1</v>
      </c>
      <c r="T48" s="1874"/>
      <c r="U48" s="237"/>
      <c r="V48" s="688"/>
      <c r="W48" s="1176"/>
      <c r="X48" s="1868"/>
      <c r="Y48" s="1855" t="s">
        <v>64</v>
      </c>
      <c r="Z48" s="1868"/>
      <c r="AA48" s="1855" t="s">
        <v>64</v>
      </c>
      <c r="AB48" s="1877"/>
      <c r="AC48" s="1876" t="s">
        <v>22</v>
      </c>
      <c r="AD48" s="688"/>
      <c r="AE48" s="1176"/>
      <c r="AF48" s="1868"/>
      <c r="AG48" s="1855" t="s">
        <v>64</v>
      </c>
      <c r="AH48" s="1868"/>
      <c r="AI48" s="1855" t="s">
        <v>64</v>
      </c>
      <c r="AJ48" s="1267"/>
      <c r="AK48" s="2478" t="s">
        <v>478</v>
      </c>
      <c r="AL48" s="1555" t="e">
        <f ca="1">STRCHECKDATE(#REF!)</f>
        <v>#NAME?</v>
      </c>
      <c r="AM48" s="1543"/>
      <c r="AN48" s="1543" t="str">
        <f t="shared" si="1"/>
        <v/>
      </c>
      <c r="AO48" s="1543"/>
      <c r="AP48" s="1543"/>
      <c r="AQ48" s="1550">
        <v>21</v>
      </c>
    </row>
    <row r="49" spans="1:43" ht="11.45" customHeight="1">
      <c r="A49" s="1186" t="s">
        <v>204</v>
      </c>
      <c r="B49" s="1186" t="s">
        <v>205</v>
      </c>
      <c r="C49" s="1186" t="s">
        <v>206</v>
      </c>
      <c r="D49" s="1186" t="s">
        <v>207</v>
      </c>
      <c r="E49" s="2508"/>
      <c r="F49" s="2508"/>
      <c r="G49" s="2508"/>
      <c r="H49" s="2508"/>
      <c r="I49" s="2335"/>
      <c r="J49" s="2363"/>
      <c r="K49" s="1186"/>
      <c r="L49" s="1229"/>
      <c r="P49" s="2482"/>
      <c r="Q49" s="2482"/>
      <c r="R49" s="293"/>
      <c r="S49" s="1197"/>
      <c r="T49" s="224" t="s">
        <v>466</v>
      </c>
      <c r="U49" s="537"/>
      <c r="V49" s="537"/>
      <c r="W49" s="537"/>
      <c r="X49" s="537"/>
      <c r="Y49" s="537"/>
      <c r="Z49" s="537"/>
      <c r="AA49" s="261"/>
      <c r="AB49" s="537"/>
      <c r="AC49" s="537"/>
      <c r="AD49" s="537"/>
      <c r="AE49" s="537"/>
      <c r="AF49" s="537"/>
      <c r="AG49" s="537"/>
      <c r="AH49" s="537"/>
      <c r="AI49" s="537"/>
      <c r="AJ49" s="261"/>
      <c r="AK49" s="2480"/>
      <c r="AM49" s="1543"/>
      <c r="AN49" s="1543" t="str">
        <f t="shared" si="1"/>
        <v>Добавить строку</v>
      </c>
      <c r="AO49" s="1543"/>
      <c r="AP49" s="1543"/>
      <c r="AQ49" s="1550">
        <v>11</v>
      </c>
    </row>
    <row r="50" spans="1:43" s="2245" customFormat="1" ht="1.1499999999999999" customHeight="1">
      <c r="A50" s="1294" t="s">
        <v>204</v>
      </c>
      <c r="B50" s="1294" t="s">
        <v>205</v>
      </c>
      <c r="C50" s="1294" t="s">
        <v>206</v>
      </c>
      <c r="D50" s="1294" t="s">
        <v>207</v>
      </c>
      <c r="E50" s="2508"/>
      <c r="F50" s="2508"/>
      <c r="G50" s="2508"/>
      <c r="H50" s="2508"/>
      <c r="I50" s="2363"/>
      <c r="J50" s="1294"/>
      <c r="K50" s="1294"/>
      <c r="L50" s="1300"/>
      <c r="M50" s="1165"/>
      <c r="N50" s="1165"/>
      <c r="O50" s="1165"/>
      <c r="P50" s="2482"/>
      <c r="Q50" s="1867"/>
      <c r="R50" s="293"/>
      <c r="S50" s="1305"/>
      <c r="T50" s="1306" t="s">
        <v>410</v>
      </c>
      <c r="U50" s="1307"/>
      <c r="V50" s="1307"/>
      <c r="W50" s="1307"/>
      <c r="X50" s="1307"/>
      <c r="Y50" s="1307"/>
      <c r="Z50" s="1307"/>
      <c r="AA50" s="1307"/>
      <c r="AB50" s="1307"/>
      <c r="AC50" s="1307"/>
      <c r="AD50" s="1307"/>
      <c r="AE50" s="1307"/>
      <c r="AF50" s="1307"/>
      <c r="AG50" s="1307"/>
      <c r="AH50" s="1307"/>
      <c r="AI50" s="1307"/>
      <c r="AJ50" s="1307"/>
      <c r="AK50" s="1308"/>
      <c r="AM50" s="1543"/>
      <c r="AN50" s="1543" t="str">
        <f t="shared" si="1"/>
        <v>Добавить группу потребителей</v>
      </c>
      <c r="AO50" s="1543"/>
      <c r="AP50" s="1543"/>
      <c r="AQ50" s="1555">
        <v>1</v>
      </c>
    </row>
    <row r="51" spans="1:43" s="2269" customFormat="1" ht="1.1499999999999999" customHeight="1">
      <c r="A51" s="1294" t="s">
        <v>204</v>
      </c>
      <c r="B51" s="1294" t="s">
        <v>205</v>
      </c>
      <c r="C51" s="1294" t="s">
        <v>206</v>
      </c>
      <c r="D51" s="1294" t="s">
        <v>207</v>
      </c>
      <c r="E51" s="2508"/>
      <c r="F51" s="2508"/>
      <c r="G51" s="2508"/>
      <c r="H51" s="2507"/>
      <c r="I51" s="1294"/>
      <c r="J51" s="1294"/>
      <c r="K51" s="1294"/>
      <c r="L51" s="1300"/>
      <c r="M51" s="1297"/>
      <c r="N51" s="1297"/>
      <c r="O51" s="288"/>
      <c r="P51" s="317"/>
      <c r="Q51" s="1263"/>
      <c r="R51" s="1319"/>
      <c r="S51" s="1305"/>
      <c r="T51" s="1306"/>
      <c r="U51" s="1307"/>
      <c r="V51" s="1307"/>
      <c r="W51" s="1307"/>
      <c r="X51" s="1307"/>
      <c r="Y51" s="1307"/>
      <c r="Z51" s="1307"/>
      <c r="AA51" s="1307"/>
      <c r="AB51" s="1307"/>
      <c r="AC51" s="1307"/>
      <c r="AD51" s="1307"/>
      <c r="AE51" s="1307"/>
      <c r="AF51" s="1307"/>
      <c r="AG51" s="1307"/>
      <c r="AH51" s="1307"/>
      <c r="AI51" s="1307"/>
      <c r="AJ51" s="1307"/>
      <c r="AK51" s="1308"/>
      <c r="AL51" s="1555"/>
      <c r="AM51" s="1543"/>
      <c r="AN51" s="1543" t="str">
        <f t="shared" si="1"/>
        <v/>
      </c>
      <c r="AO51" s="1543"/>
      <c r="AP51" s="1543"/>
      <c r="AQ51" s="1560">
        <v>1</v>
      </c>
    </row>
    <row r="52" spans="1:43" s="2245" customFormat="1" ht="1.1499999999999999" customHeight="1">
      <c r="A52" s="1294" t="s">
        <v>204</v>
      </c>
      <c r="B52" s="1294" t="s">
        <v>205</v>
      </c>
      <c r="C52" s="1294" t="s">
        <v>206</v>
      </c>
      <c r="D52" s="1293"/>
      <c r="E52" s="2508"/>
      <c r="F52" s="2508"/>
      <c r="G52" s="2507"/>
      <c r="H52" s="1293"/>
      <c r="I52" s="1293"/>
      <c r="J52" s="1293"/>
      <c r="K52" s="1293"/>
      <c r="L52" s="1296"/>
      <c r="M52" s="1297"/>
      <c r="N52" s="1297"/>
      <c r="O52" s="288"/>
      <c r="P52" s="1235"/>
      <c r="Q52" s="1236"/>
      <c r="R52" s="1235"/>
      <c r="S52" s="1241"/>
      <c r="T52" s="1244" t="s">
        <v>412</v>
      </c>
      <c r="U52" s="1243"/>
      <c r="V52" s="1243"/>
      <c r="W52" s="1243"/>
      <c r="X52" s="1243"/>
      <c r="Y52" s="1243"/>
      <c r="Z52" s="1243"/>
      <c r="AA52" s="1243"/>
      <c r="AB52" s="1243"/>
      <c r="AC52" s="1243"/>
      <c r="AD52" s="1243"/>
      <c r="AE52" s="1243"/>
      <c r="AF52" s="1243"/>
      <c r="AG52" s="1243"/>
      <c r="AH52" s="1243"/>
      <c r="AI52" s="1243"/>
      <c r="AJ52" s="1243"/>
      <c r="AK52" s="1243"/>
      <c r="AM52" s="1170"/>
      <c r="AN52" s="1170" t="str">
        <f t="shared" si="1"/>
        <v>Добавить источник для дифференциации</v>
      </c>
      <c r="AO52" s="1170"/>
      <c r="AP52" s="1170"/>
      <c r="AQ52" s="1561">
        <v>1</v>
      </c>
    </row>
    <row r="53" spans="1:43" s="2245" customFormat="1" ht="1.1499999999999999" customHeight="1">
      <c r="A53" s="1294" t="s">
        <v>204</v>
      </c>
      <c r="B53" s="1294" t="s">
        <v>205</v>
      </c>
      <c r="C53" s="1293"/>
      <c r="D53" s="1293"/>
      <c r="E53" s="2508"/>
      <c r="F53" s="2507"/>
      <c r="G53" s="1293"/>
      <c r="H53" s="1293"/>
      <c r="I53" s="1293"/>
      <c r="J53" s="1293"/>
      <c r="K53" s="1293"/>
      <c r="L53" s="1296"/>
      <c r="M53" s="1298"/>
      <c r="N53" s="1298"/>
      <c r="O53" s="288"/>
      <c r="P53" s="1235"/>
      <c r="Q53" s="1236"/>
      <c r="R53" s="1235"/>
      <c r="S53" s="1241"/>
      <c r="T53" s="1244" t="s">
        <v>413</v>
      </c>
      <c r="U53" s="1243"/>
      <c r="V53" s="1243"/>
      <c r="W53" s="1243"/>
      <c r="X53" s="1243"/>
      <c r="Y53" s="1243"/>
      <c r="Z53" s="1243"/>
      <c r="AA53" s="1243"/>
      <c r="AB53" s="1243"/>
      <c r="AC53" s="1243"/>
      <c r="AD53" s="1243"/>
      <c r="AE53" s="1243"/>
      <c r="AF53" s="1243"/>
      <c r="AG53" s="1243"/>
      <c r="AH53" s="1243"/>
      <c r="AI53" s="1243"/>
      <c r="AJ53" s="1243"/>
      <c r="AK53" s="1243"/>
      <c r="AM53" s="1170"/>
      <c r="AN53" s="1170" t="str">
        <f t="shared" si="1"/>
        <v>Добавить централизованную систему для дифференциации</v>
      </c>
      <c r="AO53" s="1170"/>
      <c r="AP53" s="1170"/>
      <c r="AQ53" s="1561">
        <v>1</v>
      </c>
    </row>
    <row r="54" spans="1:43" s="2245" customFormat="1" ht="1.1499999999999999" customHeight="1">
      <c r="A54" s="1294" t="s">
        <v>204</v>
      </c>
      <c r="B54" s="1294"/>
      <c r="C54" s="1294"/>
      <c r="D54" s="1294"/>
      <c r="E54" s="2508"/>
      <c r="F54" s="1294"/>
      <c r="G54" s="1294"/>
      <c r="H54" s="1294"/>
      <c r="I54" s="1294"/>
      <c r="J54" s="1294"/>
      <c r="K54" s="1294"/>
      <c r="L54" s="1300"/>
      <c r="M54" s="1298"/>
      <c r="N54" s="1298"/>
      <c r="O54" s="288"/>
      <c r="P54" s="317"/>
      <c r="Q54" s="1263"/>
      <c r="R54" s="317"/>
      <c r="S54" s="1241"/>
      <c r="T54" s="1244" t="s">
        <v>414</v>
      </c>
      <c r="U54" s="1243"/>
      <c r="V54" s="1243"/>
      <c r="W54" s="1243"/>
      <c r="X54" s="1243"/>
      <c r="Y54" s="1243"/>
      <c r="Z54" s="1243"/>
      <c r="AA54" s="1243"/>
      <c r="AB54" s="1243"/>
      <c r="AC54" s="1243"/>
      <c r="AD54" s="1243"/>
      <c r="AE54" s="1243"/>
      <c r="AF54" s="1243"/>
      <c r="AG54" s="1243"/>
      <c r="AH54" s="1243"/>
      <c r="AI54" s="1243"/>
      <c r="AJ54" s="1243"/>
      <c r="AK54" s="1243"/>
      <c r="AM54" s="1543"/>
      <c r="AN54" s="1543" t="str">
        <f t="shared" si="1"/>
        <v>Добавить территорию для дифференциации</v>
      </c>
      <c r="AO54" s="1543"/>
      <c r="AP54" s="1543"/>
      <c r="AQ54" s="1555">
        <v>1</v>
      </c>
    </row>
    <row r="55" spans="1:43" s="2245" customFormat="1" ht="1.1499999999999999" customHeight="1">
      <c r="A55" s="1294" t="s">
        <v>204</v>
      </c>
      <c r="B55" s="1294"/>
      <c r="C55" s="1294"/>
      <c r="D55" s="1294"/>
      <c r="E55" s="2507"/>
      <c r="F55" s="1294"/>
      <c r="G55" s="1294"/>
      <c r="H55" s="1294"/>
      <c r="I55" s="1294"/>
      <c r="J55" s="1294"/>
      <c r="K55" s="1294"/>
      <c r="L55" s="1300"/>
      <c r="M55" s="1298"/>
      <c r="N55" s="1298"/>
      <c r="O55" s="288"/>
      <c r="P55" s="317"/>
      <c r="Q55" s="1263"/>
      <c r="R55" s="317"/>
      <c r="S55" s="1241"/>
      <c r="T55" s="1244" t="s">
        <v>414</v>
      </c>
      <c r="U55" s="1243"/>
      <c r="V55" s="1243"/>
      <c r="W55" s="1243"/>
      <c r="X55" s="1243"/>
      <c r="Y55" s="1243"/>
      <c r="Z55" s="1243"/>
      <c r="AA55" s="1243"/>
      <c r="AB55" s="1243"/>
      <c r="AC55" s="1243"/>
      <c r="AD55" s="1243"/>
      <c r="AE55" s="1243"/>
      <c r="AF55" s="1243"/>
      <c r="AG55" s="1243"/>
      <c r="AH55" s="1243"/>
      <c r="AI55" s="1243"/>
      <c r="AJ55" s="1243"/>
      <c r="AK55" s="1243"/>
      <c r="AM55" s="1543"/>
      <c r="AN55" s="1543" t="str">
        <f t="shared" si="1"/>
        <v>Добавить территорию для дифференциации</v>
      </c>
      <c r="AO55" s="1543"/>
      <c r="AP55" s="1543"/>
      <c r="AQ55" s="1555">
        <v>1</v>
      </c>
    </row>
    <row r="56" spans="1:43" s="2245" customFormat="1" ht="1.1499999999999999" customHeight="1">
      <c r="A56" s="1293"/>
      <c r="B56" s="1293"/>
      <c r="C56" s="1293"/>
      <c r="D56" s="1293"/>
      <c r="E56" s="1294"/>
      <c r="F56" s="1293"/>
      <c r="G56" s="1293"/>
      <c r="H56" s="1293"/>
      <c r="I56" s="1293"/>
      <c r="J56" s="1293"/>
      <c r="K56" s="1293"/>
      <c r="L56" s="1296"/>
      <c r="M56" s="1298"/>
      <c r="N56" s="1298"/>
      <c r="O56" s="288"/>
      <c r="P56" s="1235"/>
      <c r="Q56" s="1236"/>
      <c r="R56" s="1235"/>
      <c r="S56" s="1241"/>
      <c r="T56" s="1244" t="s">
        <v>446</v>
      </c>
      <c r="U56" s="1243"/>
      <c r="V56" s="1243"/>
      <c r="W56" s="1243"/>
      <c r="X56" s="1243"/>
      <c r="Y56" s="1243"/>
      <c r="Z56" s="1243"/>
      <c r="AA56" s="1243"/>
      <c r="AB56" s="1243"/>
      <c r="AC56" s="1243"/>
      <c r="AD56" s="1243"/>
      <c r="AE56" s="1243"/>
      <c r="AF56" s="1243"/>
      <c r="AG56" s="1243"/>
      <c r="AH56" s="1243"/>
      <c r="AI56" s="1243"/>
      <c r="AJ56" s="1243"/>
      <c r="AK56" s="1243"/>
      <c r="AM56" s="1170"/>
      <c r="AN56" s="1170" t="str">
        <f t="shared" si="1"/>
        <v>Добавить наименование тарифа</v>
      </c>
      <c r="AO56" s="1170"/>
      <c r="AP56" s="1170"/>
      <c r="AQ56" s="1561">
        <v>1</v>
      </c>
    </row>
    <row r="57" spans="1:43" ht="11.45" customHeight="1">
      <c r="M57" s="1550"/>
      <c r="N57" s="1550"/>
      <c r="O57" s="1554"/>
      <c r="P57" s="1285"/>
      <c r="Q57" s="1285"/>
      <c r="R57" s="1550"/>
      <c r="S57" s="1550"/>
      <c r="AL57" s="1550"/>
      <c r="AM57" s="1550"/>
      <c r="AN57" s="1550"/>
      <c r="AO57" s="1550"/>
      <c r="AP57" s="1550"/>
      <c r="AQ57" s="1550">
        <v>11</v>
      </c>
    </row>
    <row r="58" spans="1:43" ht="19.899999999999999" customHeight="1">
      <c r="O58" s="1554"/>
      <c r="S58" s="1172"/>
      <c r="T58" s="2503"/>
      <c r="U58" s="2503"/>
      <c r="V58" s="2503"/>
      <c r="W58" s="2503"/>
      <c r="X58" s="2503"/>
      <c r="Y58" s="2503"/>
      <c r="Z58" s="2503"/>
      <c r="AA58" s="2503"/>
      <c r="AB58" s="2503"/>
      <c r="AC58" s="2503"/>
      <c r="AD58" s="2503"/>
      <c r="AE58" s="2503"/>
      <c r="AF58" s="2503"/>
      <c r="AG58" s="2503"/>
      <c r="AH58" s="2503"/>
      <c r="AI58" s="2503"/>
      <c r="AJ58" s="2503"/>
      <c r="AK58" s="2503"/>
      <c r="AQ58" s="1550">
        <v>19</v>
      </c>
    </row>
    <row r="59" spans="1:43" ht="21" customHeight="1">
      <c r="O59" s="1554"/>
      <c r="T59" s="2503"/>
      <c r="U59" s="2503"/>
      <c r="V59" s="2503"/>
      <c r="W59" s="2503"/>
      <c r="X59" s="2503"/>
      <c r="Y59" s="2503"/>
      <c r="Z59" s="2503"/>
      <c r="AA59" s="2503"/>
      <c r="AB59" s="2503"/>
      <c r="AC59" s="2503"/>
      <c r="AD59" s="2503"/>
      <c r="AE59" s="2503"/>
      <c r="AF59" s="2503"/>
      <c r="AG59" s="2503"/>
      <c r="AH59" s="2503"/>
      <c r="AI59" s="2503"/>
      <c r="AJ59" s="2503"/>
      <c r="AK59" s="2503"/>
      <c r="AQ59" s="1550">
        <v>20</v>
      </c>
    </row>
    <row r="60" spans="1:43" ht="14.65" customHeight="1">
      <c r="O60" s="1554"/>
      <c r="T60" s="1866"/>
      <c r="U60" s="1866"/>
      <c r="V60" s="1866"/>
      <c r="W60" s="1866"/>
      <c r="X60" s="1866"/>
      <c r="Y60" s="1866"/>
      <c r="Z60" s="1866"/>
      <c r="AA60" s="1866"/>
      <c r="AB60" s="1866"/>
      <c r="AC60" s="1866"/>
      <c r="AD60" s="1866"/>
      <c r="AE60" s="1866"/>
      <c r="AF60" s="1866"/>
      <c r="AG60" s="1866"/>
      <c r="AH60" s="1866"/>
      <c r="AI60" s="1866"/>
      <c r="AJ60" s="1866"/>
      <c r="AK60" s="1866"/>
      <c r="AQ60" s="1550">
        <v>14</v>
      </c>
    </row>
    <row r="61" spans="1:43" ht="19.899999999999999" customHeight="1">
      <c r="O61" s="1554"/>
      <c r="T61" s="2503"/>
      <c r="U61" s="2503"/>
      <c r="V61" s="2503"/>
      <c r="W61" s="2503"/>
      <c r="X61" s="2503"/>
      <c r="Y61" s="2503"/>
      <c r="Z61" s="2503"/>
      <c r="AA61" s="2503"/>
      <c r="AB61" s="2503"/>
      <c r="AC61" s="2503"/>
      <c r="AD61" s="2503"/>
      <c r="AE61" s="2503"/>
      <c r="AF61" s="2503"/>
      <c r="AG61" s="2503"/>
      <c r="AH61" s="2503"/>
      <c r="AI61" s="2503"/>
      <c r="AJ61" s="2503"/>
      <c r="AK61" s="2503"/>
      <c r="AQ61" s="1550">
        <v>19</v>
      </c>
    </row>
    <row r="62" spans="1:43" ht="16.899999999999999" customHeight="1">
      <c r="O62" s="1554"/>
      <c r="T62" s="2503"/>
      <c r="U62" s="2503"/>
      <c r="V62" s="2503"/>
      <c r="W62" s="2503"/>
      <c r="X62" s="2503"/>
      <c r="Y62" s="2503"/>
      <c r="Z62" s="2503"/>
      <c r="AA62" s="2503"/>
      <c r="AB62" s="2503"/>
      <c r="AC62" s="2503"/>
      <c r="AD62" s="2503"/>
      <c r="AE62" s="2503"/>
      <c r="AF62" s="2503"/>
      <c r="AG62" s="2503"/>
      <c r="AH62" s="2503"/>
      <c r="AI62" s="2503"/>
      <c r="AJ62" s="2503"/>
      <c r="AK62" s="2503"/>
      <c r="AQ62" s="1550">
        <v>16</v>
      </c>
    </row>
    <row r="63" spans="1:43" ht="14.65" customHeight="1">
      <c r="O63" s="1554"/>
      <c r="AQ63" s="1550">
        <v>14</v>
      </c>
    </row>
    <row r="64" spans="1:43" ht="22.5" hidden="1" customHeight="1">
      <c r="A64" s="1550" t="s">
        <v>81</v>
      </c>
      <c r="B64" s="1550">
        <v>0</v>
      </c>
      <c r="C64" s="1550">
        <v>0</v>
      </c>
      <c r="D64" s="1550">
        <v>0</v>
      </c>
      <c r="E64" s="1550">
        <v>0</v>
      </c>
      <c r="F64" s="1550">
        <v>0</v>
      </c>
      <c r="G64" s="1550">
        <v>0</v>
      </c>
      <c r="H64" s="1550">
        <v>0</v>
      </c>
      <c r="I64" s="1550">
        <v>0</v>
      </c>
      <c r="J64" s="1550">
        <v>0</v>
      </c>
      <c r="K64" s="1550">
        <v>0</v>
      </c>
      <c r="L64" s="1852">
        <v>0</v>
      </c>
      <c r="M64" s="1878">
        <v>0</v>
      </c>
      <c r="N64" s="1878">
        <v>0</v>
      </c>
      <c r="O64" s="1878">
        <v>0</v>
      </c>
      <c r="P64" s="1281">
        <v>3</v>
      </c>
      <c r="Q64" s="1290">
        <v>3</v>
      </c>
      <c r="R64" s="281">
        <v>3</v>
      </c>
      <c r="S64" s="518">
        <v>12</v>
      </c>
      <c r="T64" s="1550">
        <v>31</v>
      </c>
      <c r="U64" s="1550">
        <v>0</v>
      </c>
      <c r="V64" s="1550">
        <v>0</v>
      </c>
      <c r="W64" s="1550">
        <v>0</v>
      </c>
      <c r="X64" s="1550">
        <v>0</v>
      </c>
      <c r="Y64" s="1550">
        <v>0</v>
      </c>
      <c r="Z64" s="1550">
        <v>0</v>
      </c>
      <c r="AA64" s="1550">
        <v>0</v>
      </c>
      <c r="AB64" s="1550">
        <v>27</v>
      </c>
      <c r="AC64" s="1550">
        <v>24</v>
      </c>
      <c r="AD64" s="1550">
        <v>21</v>
      </c>
      <c r="AE64" s="1550">
        <v>21</v>
      </c>
      <c r="AF64" s="1550">
        <v>11</v>
      </c>
      <c r="AG64" s="1550">
        <v>3</v>
      </c>
      <c r="AH64" s="1550">
        <v>11</v>
      </c>
      <c r="AI64" s="1550">
        <v>8</v>
      </c>
      <c r="AJ64" s="1550">
        <v>4</v>
      </c>
      <c r="AK64" s="1550">
        <v>115</v>
      </c>
      <c r="AL64" s="1555">
        <v>10</v>
      </c>
      <c r="AM64" s="1555">
        <v>10</v>
      </c>
      <c r="AN64" s="1555">
        <v>10</v>
      </c>
      <c r="AO64" s="1555">
        <v>10</v>
      </c>
      <c r="AP64" s="1555">
        <v>10</v>
      </c>
      <c r="AQ64" s="1550">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244" hidden="1" customWidth="1"/>
    <col min="2" max="2" width="11" style="2244" hidden="1" customWidth="1"/>
    <col min="3" max="3" width="10.5703125" style="2244" hidden="1"/>
    <col min="4" max="4" width="12.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2" style="2244" hidden="1" customWidth="1"/>
    <col min="10" max="10" width="9.85546875" style="2244" hidden="1" customWidth="1"/>
    <col min="11" max="11" width="11.42578125" style="2244" hidden="1" customWidth="1"/>
    <col min="12" max="12" width="19.140625" style="2270" hidden="1" customWidth="1"/>
    <col min="13" max="14" width="12.28515625" style="2271" hidden="1" customWidth="1"/>
    <col min="15" max="15" width="23.42578125" style="2271" hidden="1" customWidth="1"/>
    <col min="16" max="16" width="3.7109375" style="2271" hidden="1" customWidth="1"/>
    <col min="17" max="17" width="3.7109375" style="2276" hidden="1" customWidth="1"/>
    <col min="18" max="18" width="3" style="2273" customWidth="1"/>
    <col min="19" max="19" width="12" style="2274" customWidth="1"/>
    <col min="20" max="20" width="31" style="2238" customWidth="1"/>
    <col min="21" max="21" width="0.140625" style="2238" customWidth="1"/>
    <col min="22" max="25" width="21.7109375" style="2238" hidden="1" customWidth="1"/>
    <col min="26" max="26" width="11.7109375" style="2238" hidden="1" customWidth="1"/>
    <col min="27" max="27" width="3.7109375" style="2238" hidden="1" customWidth="1"/>
    <col min="28" max="28" width="11.7109375" style="2238" hidden="1" customWidth="1"/>
    <col min="29" max="29" width="8.5703125" style="2238" hidden="1" customWidth="1"/>
    <col min="30" max="30" width="3.7109375" style="2238" customWidth="1"/>
    <col min="31" max="32" width="3" style="2238" customWidth="1"/>
    <col min="33" max="33" width="24" style="2238" customWidth="1"/>
    <col min="34" max="34" width="3.7109375" style="2238" customWidth="1"/>
    <col min="35" max="36" width="3" style="2238" customWidth="1"/>
    <col min="37" max="37" width="24" style="2238" customWidth="1"/>
    <col min="38" max="38" width="3.7109375" style="2238" customWidth="1"/>
    <col min="39" max="40" width="3" style="2238" customWidth="1"/>
    <col min="41" max="41" width="18" style="2238" customWidth="1"/>
    <col min="42" max="42" width="3.7109375" style="2238" customWidth="1"/>
    <col min="43" max="44" width="3" style="2238" customWidth="1"/>
    <col min="45" max="45" width="18" style="2238" customWidth="1"/>
    <col min="46" max="49" width="21" style="2238" customWidth="1"/>
    <col min="50" max="50" width="11" style="2238" customWidth="1"/>
    <col min="51" max="51" width="3.7109375" style="2238" customWidth="1"/>
    <col min="52" max="52" width="11" style="2238" customWidth="1"/>
    <col min="53" max="53" width="8.5703125" style="2238" hidden="1" customWidth="1"/>
    <col min="54" max="54" width="4" style="2238" customWidth="1"/>
    <col min="55" max="55" width="115" style="2238" customWidth="1"/>
    <col min="56" max="60" width="10" style="2245" customWidth="1"/>
    <col min="61" max="61" width="10.5703125" style="2238" hidden="1"/>
  </cols>
  <sheetData>
    <row r="1" spans="1:61" ht="22.5" hidden="1" customHeight="1">
      <c r="W1" s="264"/>
      <c r="Y1" s="264"/>
      <c r="Z1" s="264"/>
      <c r="AW1" s="264"/>
      <c r="AX1" s="264"/>
      <c r="BI1" s="1074" t="s">
        <v>14</v>
      </c>
    </row>
    <row r="2" spans="1:61" ht="21" hidden="1" customHeight="1">
      <c r="A2" s="1282"/>
      <c r="B2" s="1282"/>
      <c r="C2" s="1282"/>
      <c r="D2" s="1282"/>
      <c r="E2" s="2483">
        <v>1</v>
      </c>
      <c r="F2" s="1282"/>
      <c r="G2" s="1282"/>
      <c r="H2" s="1282"/>
      <c r="I2" s="1282"/>
      <c r="J2" s="1282"/>
      <c r="K2" s="1282"/>
      <c r="L2" s="1283"/>
      <c r="M2" s="1284"/>
      <c r="N2" s="1284"/>
      <c r="O2" s="1284"/>
      <c r="P2" s="1328"/>
      <c r="Q2" s="800"/>
      <c r="R2" s="292"/>
      <c r="S2" s="1384" t="e">
        <f>INDEX(PT_DIFFERENTIATION_NUM_NTAR,MATCH(A2,PT_DIFFERENTIATION_NTAR_ID,0))</f>
        <v>#N/A</v>
      </c>
      <c r="T2" s="235" t="s">
        <v>123</v>
      </c>
      <c r="U2" s="237"/>
      <c r="V2" s="2470"/>
      <c r="W2" s="2470"/>
      <c r="X2" s="2470"/>
      <c r="Y2" s="2470"/>
      <c r="Z2" s="2470"/>
      <c r="AA2" s="2470"/>
      <c r="AB2" s="2470"/>
      <c r="AC2" s="2471"/>
      <c r="AD2" s="2469" t="e">
        <f>INDEX(PT_DIFFERENTIATION_NTAR,MATCH(A2,PT_DIFFERENTIATION_NTAR_ID,0))</f>
        <v>#N/A</v>
      </c>
      <c r="AE2" s="2470"/>
      <c r="AF2" s="2470"/>
      <c r="AG2" s="2470"/>
      <c r="AH2" s="2470"/>
      <c r="AI2" s="2470"/>
      <c r="AJ2" s="2470"/>
      <c r="AK2" s="2470"/>
      <c r="AL2" s="2470"/>
      <c r="AM2" s="2470"/>
      <c r="AN2" s="2470"/>
      <c r="AO2" s="2470"/>
      <c r="AP2" s="2470"/>
      <c r="AQ2" s="2470"/>
      <c r="AR2" s="2470"/>
      <c r="AS2" s="2470"/>
      <c r="AT2" s="2470"/>
      <c r="AU2" s="2470"/>
      <c r="AV2" s="2470"/>
      <c r="AW2" s="2470"/>
      <c r="AX2" s="2470"/>
      <c r="AY2" s="2470"/>
      <c r="AZ2" s="2470"/>
      <c r="BA2" s="2470"/>
      <c r="BB2" s="2471"/>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74">
        <v>0</v>
      </c>
    </row>
    <row r="3" spans="1:61" ht="21" hidden="1" customHeight="1">
      <c r="A3" s="1282"/>
      <c r="B3" s="1282"/>
      <c r="C3" s="1282"/>
      <c r="D3" s="1282"/>
      <c r="E3" s="2484"/>
      <c r="F3" s="2483">
        <v>1</v>
      </c>
      <c r="G3" s="1282"/>
      <c r="H3" s="1282"/>
      <c r="I3" s="1282"/>
      <c r="J3" s="1282"/>
      <c r="K3" s="1282"/>
      <c r="L3" s="1283"/>
      <c r="M3" s="1284"/>
      <c r="N3" s="1284"/>
      <c r="O3" s="1284"/>
      <c r="P3" s="1329"/>
      <c r="Q3" s="1330"/>
      <c r="R3" s="290"/>
      <c r="S3" s="1384" t="e">
        <f>INDEX(PT_DIFFERENTIATION_NUM_TER,MATCH(B3,PT_DIFFERENTIATION_TER_ID,0))</f>
        <v>#N/A</v>
      </c>
      <c r="T3" s="245" t="s">
        <v>395</v>
      </c>
      <c r="U3" s="237"/>
      <c r="V3" s="2470"/>
      <c r="W3" s="2470"/>
      <c r="X3" s="2470"/>
      <c r="Y3" s="2470"/>
      <c r="Z3" s="2470"/>
      <c r="AA3" s="2470"/>
      <c r="AB3" s="2470"/>
      <c r="AC3" s="2471"/>
      <c r="AD3" s="2469" t="e">
        <f>INDEX(PT_DIFFERENTIATION_TER,MATCH(B3,PT_DIFFERENTIATION_TER_ID,0))</f>
        <v>#N/A</v>
      </c>
      <c r="AE3" s="2470"/>
      <c r="AF3" s="2470"/>
      <c r="AG3" s="2470"/>
      <c r="AH3" s="2470"/>
      <c r="AI3" s="2470"/>
      <c r="AJ3" s="2470"/>
      <c r="AK3" s="2470"/>
      <c r="AL3" s="2470"/>
      <c r="AM3" s="2470"/>
      <c r="AN3" s="2470"/>
      <c r="AO3" s="2470"/>
      <c r="AP3" s="2470"/>
      <c r="AQ3" s="2470"/>
      <c r="AR3" s="2470"/>
      <c r="AS3" s="2470"/>
      <c r="AT3" s="2470"/>
      <c r="AU3" s="2470"/>
      <c r="AV3" s="2470"/>
      <c r="AW3" s="2470"/>
      <c r="AX3" s="2470"/>
      <c r="AY3" s="2470"/>
      <c r="AZ3" s="2470"/>
      <c r="BA3" s="2470"/>
      <c r="BB3" s="2471"/>
      <c r="BC3" s="1177" t="s">
        <v>396</v>
      </c>
      <c r="BE3" s="437"/>
      <c r="BF3" s="437" t="str">
        <f t="shared" si="0"/>
        <v>Территория действия тарифа</v>
      </c>
      <c r="BG3" s="437"/>
      <c r="BH3" s="437"/>
      <c r="BI3" s="1074">
        <v>0</v>
      </c>
    </row>
    <row r="4" spans="1:61" ht="42" hidden="1" customHeight="1">
      <c r="A4" s="1282"/>
      <c r="B4" s="1282"/>
      <c r="C4" s="1282"/>
      <c r="D4" s="1282"/>
      <c r="E4" s="2484"/>
      <c r="F4" s="2484"/>
      <c r="G4" s="2483">
        <v>1</v>
      </c>
      <c r="H4" s="1282"/>
      <c r="I4" s="1282"/>
      <c r="J4" s="1282"/>
      <c r="K4" s="1282"/>
      <c r="L4" s="1283"/>
      <c r="M4" s="1284"/>
      <c r="N4" s="1284"/>
      <c r="O4" s="1284"/>
      <c r="P4" s="1331"/>
      <c r="Q4" s="1330"/>
      <c r="R4" s="290"/>
      <c r="S4" s="1384" t="e">
        <f>INDEX(PT_DIFFERENTIATION_NUM_CS,MATCH(C4,PT_DIFFERENTIATION_CS_ID,0))</f>
        <v>#N/A</v>
      </c>
      <c r="T4" s="246" t="s">
        <v>479</v>
      </c>
      <c r="U4" s="237"/>
      <c r="V4" s="2470"/>
      <c r="W4" s="2470"/>
      <c r="X4" s="2470"/>
      <c r="Y4" s="2470"/>
      <c r="Z4" s="2470"/>
      <c r="AA4" s="2470"/>
      <c r="AB4" s="2470"/>
      <c r="AC4" s="2471"/>
      <c r="AD4" s="2469" t="e">
        <f>INDEX(PT_DIFFERENTIATION_CS,MATCH(C4,PT_DIFFERENTIATION_CS_ID,0))</f>
        <v>#N/A</v>
      </c>
      <c r="AE4" s="2470"/>
      <c r="AF4" s="2470"/>
      <c r="AG4" s="2470"/>
      <c r="AH4" s="2470"/>
      <c r="AI4" s="2470"/>
      <c r="AJ4" s="2470"/>
      <c r="AK4" s="2470"/>
      <c r="AL4" s="2470"/>
      <c r="AM4" s="2470"/>
      <c r="AN4" s="2470"/>
      <c r="AO4" s="2470"/>
      <c r="AP4" s="2470"/>
      <c r="AQ4" s="2470"/>
      <c r="AR4" s="2470"/>
      <c r="AS4" s="2470"/>
      <c r="AT4" s="2470"/>
      <c r="AU4" s="2470"/>
      <c r="AV4" s="2470"/>
      <c r="AW4" s="2470"/>
      <c r="AX4" s="2470"/>
      <c r="AY4" s="2470"/>
      <c r="AZ4" s="2470"/>
      <c r="BA4" s="2470"/>
      <c r="BB4" s="2471"/>
      <c r="BC4" s="1177" t="s">
        <v>480</v>
      </c>
      <c r="BE4" s="437"/>
      <c r="BF4" s="437" t="str">
        <f t="shared" si="0"/>
        <v>Наименование централизованной системы холодного водоснабжения</v>
      </c>
      <c r="BG4" s="437"/>
      <c r="BH4" s="437"/>
      <c r="BI4" s="1074">
        <v>0</v>
      </c>
    </row>
    <row r="5" spans="1:61" s="2245" customFormat="1" ht="14.25" hidden="1" customHeight="1">
      <c r="A5" s="1262"/>
      <c r="B5" s="1262"/>
      <c r="C5" s="1262"/>
      <c r="D5" s="1262"/>
      <c r="E5" s="2484"/>
      <c r="F5" s="2484"/>
      <c r="G5" s="2484"/>
      <c r="H5" s="2483">
        <v>1</v>
      </c>
      <c r="I5" s="1262"/>
      <c r="J5" s="1262"/>
      <c r="K5" s="1262"/>
      <c r="L5" s="1265"/>
      <c r="M5" s="1234"/>
      <c r="N5" s="1234"/>
      <c r="O5" s="1234"/>
      <c r="P5" s="1416"/>
      <c r="Q5" s="1417"/>
      <c r="R5" s="294"/>
      <c r="S5" s="966"/>
      <c r="T5" s="1418"/>
      <c r="U5" s="1303"/>
      <c r="V5" s="2513"/>
      <c r="W5" s="2513"/>
      <c r="X5" s="2513"/>
      <c r="Y5" s="2513"/>
      <c r="Z5" s="2513"/>
      <c r="AA5" s="2513"/>
      <c r="AB5" s="2513"/>
      <c r="AC5" s="2514"/>
      <c r="AD5" s="2512"/>
      <c r="AE5" s="2513"/>
      <c r="AF5" s="2513"/>
      <c r="AG5" s="2513"/>
      <c r="AH5" s="2513"/>
      <c r="AI5" s="2513"/>
      <c r="AJ5" s="2513"/>
      <c r="AK5" s="2513"/>
      <c r="AL5" s="2513"/>
      <c r="AM5" s="2513"/>
      <c r="AN5" s="2513"/>
      <c r="AO5" s="2513"/>
      <c r="AP5" s="2513"/>
      <c r="AQ5" s="2513"/>
      <c r="AR5" s="2513"/>
      <c r="AS5" s="2513"/>
      <c r="AT5" s="2513"/>
      <c r="AU5" s="2513"/>
      <c r="AV5" s="2513"/>
      <c r="AW5" s="2513"/>
      <c r="AX5" s="2513"/>
      <c r="AY5" s="2513"/>
      <c r="AZ5" s="2513"/>
      <c r="BA5" s="2513"/>
      <c r="BB5" s="2514"/>
      <c r="BC5" s="1304" t="s">
        <v>400</v>
      </c>
      <c r="BE5" s="437"/>
      <c r="BF5" s="437" t="str">
        <f t="shared" si="0"/>
        <v/>
      </c>
      <c r="BG5" s="437"/>
      <c r="BH5" s="437"/>
      <c r="BI5" s="448">
        <v>0</v>
      </c>
    </row>
    <row r="6" spans="1:61" s="2245" customFormat="1" ht="14.25" hidden="1" customHeight="1">
      <c r="A6" s="1262"/>
      <c r="B6" s="1262"/>
      <c r="C6" s="1262"/>
      <c r="D6" s="1262"/>
      <c r="E6" s="2484"/>
      <c r="F6" s="2484"/>
      <c r="G6" s="2484"/>
      <c r="H6" s="2484"/>
      <c r="I6" s="2481" t="str">
        <f>S5&amp;".1"</f>
        <v>.1</v>
      </c>
      <c r="J6" s="1262"/>
      <c r="K6" s="1262"/>
      <c r="L6" s="1265" t="s">
        <v>401</v>
      </c>
      <c r="M6" s="447"/>
      <c r="N6" s="447"/>
      <c r="O6" s="447"/>
      <c r="P6" s="2482">
        <v>1</v>
      </c>
      <c r="Q6" s="1381"/>
      <c r="R6" s="293"/>
      <c r="S6" s="966"/>
      <c r="T6" s="1302"/>
      <c r="U6" s="1303"/>
      <c r="V6" s="2513"/>
      <c r="W6" s="2513"/>
      <c r="X6" s="2513"/>
      <c r="Y6" s="2513"/>
      <c r="Z6" s="2513"/>
      <c r="AA6" s="2513"/>
      <c r="AB6" s="2513"/>
      <c r="AC6" s="2514"/>
      <c r="AD6" s="2512"/>
      <c r="AE6" s="2513"/>
      <c r="AF6" s="2513"/>
      <c r="AG6" s="2513"/>
      <c r="AH6" s="2513"/>
      <c r="AI6" s="2513"/>
      <c r="AJ6" s="2513"/>
      <c r="AK6" s="2513"/>
      <c r="AL6" s="2513"/>
      <c r="AM6" s="2513"/>
      <c r="AN6" s="2513"/>
      <c r="AO6" s="2513"/>
      <c r="AP6" s="2513"/>
      <c r="AQ6" s="2513"/>
      <c r="AR6" s="2513"/>
      <c r="AS6" s="2513"/>
      <c r="AT6" s="2513"/>
      <c r="AU6" s="2513"/>
      <c r="AV6" s="2513"/>
      <c r="AW6" s="2513"/>
      <c r="AX6" s="2513"/>
      <c r="AY6" s="2513"/>
      <c r="AZ6" s="2513"/>
      <c r="BA6" s="2513"/>
      <c r="BB6" s="2514"/>
      <c r="BC6" s="1304"/>
      <c r="BE6" s="437"/>
      <c r="BF6" s="437" t="str">
        <f t="shared" si="0"/>
        <v/>
      </c>
      <c r="BG6" s="437"/>
      <c r="BH6" s="437"/>
      <c r="BI6" s="448">
        <v>0</v>
      </c>
    </row>
    <row r="7" spans="1:61" s="2245" customFormat="1" ht="14.25" hidden="1" customHeight="1">
      <c r="A7" s="1262"/>
      <c r="B7" s="1262"/>
      <c r="C7" s="1262"/>
      <c r="D7" s="1262"/>
      <c r="E7" s="2484"/>
      <c r="F7" s="2484"/>
      <c r="G7" s="2484"/>
      <c r="H7" s="2484"/>
      <c r="I7" s="2504"/>
      <c r="J7" s="2481" t="str">
        <f>S5&amp;".1"</f>
        <v>.1</v>
      </c>
      <c r="K7" s="1262"/>
      <c r="L7" s="1265"/>
      <c r="M7" s="447"/>
      <c r="N7" s="447"/>
      <c r="O7" s="447"/>
      <c r="P7" s="2482"/>
      <c r="Q7" s="2482">
        <v>1</v>
      </c>
      <c r="R7" s="294"/>
      <c r="S7" s="966"/>
      <c r="T7" s="1318"/>
      <c r="U7" s="1303"/>
      <c r="V7" s="2513"/>
      <c r="W7" s="2513"/>
      <c r="X7" s="2513"/>
      <c r="Y7" s="2513"/>
      <c r="Z7" s="2513"/>
      <c r="AA7" s="2513"/>
      <c r="AB7" s="2513"/>
      <c r="AC7" s="2514"/>
      <c r="AD7" s="2512"/>
      <c r="AE7" s="2513"/>
      <c r="AF7" s="2513"/>
      <c r="AG7" s="2513"/>
      <c r="AH7" s="2513"/>
      <c r="AI7" s="2513"/>
      <c r="AJ7" s="2513"/>
      <c r="AK7" s="2513"/>
      <c r="AL7" s="2513"/>
      <c r="AM7" s="2513"/>
      <c r="AN7" s="2513"/>
      <c r="AO7" s="2513"/>
      <c r="AP7" s="2513"/>
      <c r="AQ7" s="2513"/>
      <c r="AR7" s="2513"/>
      <c r="AS7" s="2513"/>
      <c r="AT7" s="2513"/>
      <c r="AU7" s="2513"/>
      <c r="AV7" s="2513"/>
      <c r="AW7" s="2513"/>
      <c r="AX7" s="2513"/>
      <c r="AY7" s="2513"/>
      <c r="AZ7" s="2513"/>
      <c r="BA7" s="2513"/>
      <c r="BB7" s="2514"/>
      <c r="BC7" s="1304"/>
      <c r="BE7" s="437"/>
      <c r="BF7" s="437" t="str">
        <f t="shared" si="0"/>
        <v/>
      </c>
      <c r="BG7" s="437"/>
      <c r="BH7" s="437"/>
      <c r="BI7" s="448">
        <v>0</v>
      </c>
    </row>
    <row r="8" spans="1:61" ht="11.25" hidden="1" customHeight="1">
      <c r="A8" s="1282"/>
      <c r="B8" s="1282"/>
      <c r="C8" s="1282"/>
      <c r="D8" s="1282"/>
      <c r="E8" s="2484"/>
      <c r="F8" s="2484"/>
      <c r="G8" s="2484"/>
      <c r="H8" s="2484"/>
      <c r="I8" s="2504"/>
      <c r="J8" s="2504"/>
      <c r="K8" s="2481" t="e">
        <f>S4&amp;".1"</f>
        <v>#N/A</v>
      </c>
      <c r="L8" s="1283"/>
      <c r="P8" s="2482"/>
      <c r="Q8" s="2482"/>
      <c r="R8" s="2547">
        <v>1</v>
      </c>
      <c r="S8" s="2541" t="e">
        <f>$K8</f>
        <v>#N/A</v>
      </c>
      <c r="T8" s="2560"/>
      <c r="U8" s="237"/>
      <c r="V8" s="688"/>
      <c r="W8" s="1176"/>
      <c r="X8" s="688"/>
      <c r="Y8" s="1176"/>
      <c r="Z8" s="1652"/>
      <c r="AA8" s="1378" t="s">
        <v>64</v>
      </c>
      <c r="AB8" s="1652"/>
      <c r="AC8" s="1378" t="s">
        <v>64</v>
      </c>
      <c r="AD8" s="2421" t="s">
        <v>64</v>
      </c>
      <c r="AE8" s="2526"/>
      <c r="AF8" s="2438">
        <v>1</v>
      </c>
      <c r="AG8" s="2563"/>
      <c r="AH8" s="2344" t="s">
        <v>64</v>
      </c>
      <c r="AI8" s="2526"/>
      <c r="AJ8" s="2438">
        <v>1</v>
      </c>
      <c r="AK8" s="2527" t="s">
        <v>22</v>
      </c>
      <c r="AL8" s="2344" t="s">
        <v>64</v>
      </c>
      <c r="AM8" s="2428"/>
      <c r="AN8" s="2438">
        <v>1</v>
      </c>
      <c r="AO8" s="2557"/>
      <c r="AP8" s="2558" t="s">
        <v>64</v>
      </c>
      <c r="AQ8" s="248"/>
      <c r="AR8" s="1382">
        <v>1</v>
      </c>
      <c r="AS8" s="1385" t="s">
        <v>22</v>
      </c>
      <c r="AT8" s="688"/>
      <c r="AU8" s="1176"/>
      <c r="AV8" s="688"/>
      <c r="AW8" s="1176"/>
      <c r="AX8" s="1652"/>
      <c r="AY8" s="1378" t="s">
        <v>64</v>
      </c>
      <c r="AZ8" s="1652"/>
      <c r="BA8" s="1378" t="s">
        <v>64</v>
      </c>
      <c r="BB8" s="1267"/>
      <c r="BC8" s="2478" t="s">
        <v>499</v>
      </c>
      <c r="BE8" s="437"/>
      <c r="BF8" s="437" t="str">
        <f t="shared" si="0"/>
        <v/>
      </c>
      <c r="BG8" s="437"/>
      <c r="BH8" s="437"/>
      <c r="BI8" s="1074">
        <v>0</v>
      </c>
    </row>
    <row r="9" spans="1:61" ht="11.25" hidden="1" customHeight="1">
      <c r="A9" s="1282"/>
      <c r="B9" s="1282"/>
      <c r="C9" s="1282"/>
      <c r="D9" s="1282"/>
      <c r="E9" s="2484"/>
      <c r="F9" s="2484"/>
      <c r="G9" s="2484"/>
      <c r="H9" s="2484"/>
      <c r="I9" s="2504"/>
      <c r="J9" s="2504"/>
      <c r="K9" s="2481"/>
      <c r="L9" s="1283"/>
      <c r="P9" s="2482"/>
      <c r="Q9" s="2482"/>
      <c r="R9" s="2547"/>
      <c r="S9" s="2542"/>
      <c r="T9" s="2561"/>
      <c r="U9" s="237"/>
      <c r="V9" s="1312"/>
      <c r="W9" s="1415"/>
      <c r="X9" s="1312"/>
      <c r="Y9" s="1415"/>
      <c r="Z9" s="1312"/>
      <c r="AA9" s="1312"/>
      <c r="AB9" s="1312"/>
      <c r="AC9" s="1312"/>
      <c r="AD9" s="2422"/>
      <c r="AE9" s="2526"/>
      <c r="AF9" s="2438"/>
      <c r="AG9" s="2563"/>
      <c r="AH9" s="2344"/>
      <c r="AI9" s="2526"/>
      <c r="AJ9" s="2438"/>
      <c r="AK9" s="2527"/>
      <c r="AL9" s="2344"/>
      <c r="AM9" s="2433"/>
      <c r="AN9" s="2438"/>
      <c r="AO9" s="2557"/>
      <c r="AP9" s="2559"/>
      <c r="AQ9" s="253"/>
      <c r="AR9" s="353"/>
      <c r="AS9" s="353" t="s">
        <v>500</v>
      </c>
      <c r="AT9" s="1312"/>
      <c r="AU9" s="1415"/>
      <c r="AV9" s="1312"/>
      <c r="AW9" s="1415"/>
      <c r="AX9" s="1312"/>
      <c r="AY9" s="1312"/>
      <c r="AZ9" s="1312"/>
      <c r="BA9" s="1312"/>
      <c r="BB9" s="1316"/>
      <c r="BC9" s="2479"/>
      <c r="BE9" s="437"/>
      <c r="BF9" s="437"/>
      <c r="BG9" s="437"/>
      <c r="BH9" s="437"/>
      <c r="BI9" s="1074">
        <v>0</v>
      </c>
    </row>
    <row r="10" spans="1:61" ht="11.25" hidden="1" customHeight="1">
      <c r="A10" s="1282"/>
      <c r="B10" s="1282"/>
      <c r="C10" s="1282"/>
      <c r="D10" s="1282"/>
      <c r="E10" s="2484"/>
      <c r="F10" s="2484"/>
      <c r="G10" s="2484"/>
      <c r="H10" s="2484"/>
      <c r="I10" s="2504"/>
      <c r="J10" s="2504"/>
      <c r="K10" s="2481"/>
      <c r="L10" s="1283"/>
      <c r="P10" s="2482"/>
      <c r="Q10" s="2482"/>
      <c r="R10" s="2547"/>
      <c r="S10" s="2542"/>
      <c r="T10" s="2561"/>
      <c r="U10" s="237"/>
      <c r="V10" s="1312"/>
      <c r="W10" s="1415"/>
      <c r="X10" s="1312"/>
      <c r="Y10" s="1415"/>
      <c r="Z10" s="1312"/>
      <c r="AA10" s="1312"/>
      <c r="AB10" s="1312"/>
      <c r="AC10" s="1312"/>
      <c r="AD10" s="2422"/>
      <c r="AE10" s="2526"/>
      <c r="AF10" s="2438"/>
      <c r="AG10" s="2563"/>
      <c r="AH10" s="2344"/>
      <c r="AI10" s="2526"/>
      <c r="AJ10" s="2438"/>
      <c r="AK10" s="2527"/>
      <c r="AL10" s="2344"/>
      <c r="AM10" s="253"/>
      <c r="AN10" s="1419"/>
      <c r="AO10" s="1419" t="s">
        <v>501</v>
      </c>
      <c r="AP10" s="353"/>
      <c r="AQ10" s="353"/>
      <c r="AR10" s="353"/>
      <c r="AS10" s="1312"/>
      <c r="AT10" s="1312"/>
      <c r="AU10" s="1415"/>
      <c r="AV10" s="1312"/>
      <c r="AW10" s="1415"/>
      <c r="AX10" s="1312"/>
      <c r="AY10" s="1312"/>
      <c r="AZ10" s="1312"/>
      <c r="BA10" s="1312"/>
      <c r="BB10" s="1316"/>
      <c r="BC10" s="2479"/>
      <c r="BE10" s="437"/>
      <c r="BF10" s="437"/>
      <c r="BG10" s="437"/>
      <c r="BH10" s="437"/>
      <c r="BI10" s="1074">
        <v>0</v>
      </c>
    </row>
    <row r="11" spans="1:61" ht="11.25" hidden="1" customHeight="1">
      <c r="A11" s="1282"/>
      <c r="B11" s="1282"/>
      <c r="C11" s="1282"/>
      <c r="D11" s="1282"/>
      <c r="E11" s="2484"/>
      <c r="F11" s="2484"/>
      <c r="G11" s="2484"/>
      <c r="H11" s="2484"/>
      <c r="I11" s="2504"/>
      <c r="J11" s="2504"/>
      <c r="K11" s="2481"/>
      <c r="L11" s="1283"/>
      <c r="P11" s="2482"/>
      <c r="Q11" s="2482"/>
      <c r="R11" s="2547"/>
      <c r="S11" s="2542"/>
      <c r="T11" s="2561"/>
      <c r="U11" s="237"/>
      <c r="V11" s="1312"/>
      <c r="W11" s="1415"/>
      <c r="X11" s="1312"/>
      <c r="Y11" s="1415"/>
      <c r="Z11" s="1312"/>
      <c r="AA11" s="1312"/>
      <c r="AB11" s="1312"/>
      <c r="AC11" s="1312"/>
      <c r="AD11" s="2422"/>
      <c r="AE11" s="2526"/>
      <c r="AF11" s="2438"/>
      <c r="AG11" s="2563"/>
      <c r="AH11" s="2344"/>
      <c r="AI11" s="231"/>
      <c r="AJ11" s="352"/>
      <c r="AK11" s="250" t="s">
        <v>502</v>
      </c>
      <c r="AL11" s="1312"/>
      <c r="AM11" s="1312"/>
      <c r="AN11" s="1312"/>
      <c r="AO11" s="1312"/>
      <c r="AP11" s="1312"/>
      <c r="AQ11" s="1312"/>
      <c r="AR11" s="1312"/>
      <c r="AS11" s="1312"/>
      <c r="AT11" s="1312"/>
      <c r="AU11" s="1415"/>
      <c r="AV11" s="1312"/>
      <c r="AW11" s="1415"/>
      <c r="AX11" s="1312"/>
      <c r="AY11" s="1312"/>
      <c r="AZ11" s="1312"/>
      <c r="BA11" s="1312"/>
      <c r="BB11" s="1316"/>
      <c r="BC11" s="2479"/>
      <c r="BE11" s="437"/>
      <c r="BF11" s="437"/>
      <c r="BG11" s="437"/>
      <c r="BH11" s="437"/>
      <c r="BI11" s="1074">
        <v>0</v>
      </c>
    </row>
    <row r="12" spans="1:61" ht="11.25" hidden="1" customHeight="1">
      <c r="A12" s="1282"/>
      <c r="B12" s="1282"/>
      <c r="C12" s="1282"/>
      <c r="D12" s="1282"/>
      <c r="E12" s="2484"/>
      <c r="F12" s="2484"/>
      <c r="G12" s="2484"/>
      <c r="H12" s="2484"/>
      <c r="I12" s="2504"/>
      <c r="J12" s="2504"/>
      <c r="K12" s="2481"/>
      <c r="L12" s="1283"/>
      <c r="P12" s="2482"/>
      <c r="Q12" s="2482"/>
      <c r="R12" s="2547"/>
      <c r="S12" s="2543"/>
      <c r="T12" s="2562"/>
      <c r="U12" s="237"/>
      <c r="V12" s="1312"/>
      <c r="W12" s="1313" t="str">
        <f>Z8&amp;"-"&amp;AB8</f>
        <v>-</v>
      </c>
      <c r="X12" s="1312"/>
      <c r="Y12" s="1313" t="str">
        <f>AB8&amp;"-"&amp;AD8</f>
        <v>-да</v>
      </c>
      <c r="Z12" s="1312"/>
      <c r="AA12" s="1312"/>
      <c r="AB12" s="1312"/>
      <c r="AC12" s="1312"/>
      <c r="AD12" s="2349"/>
      <c r="AE12" s="249"/>
      <c r="AF12" s="251"/>
      <c r="AG12" s="353" t="s">
        <v>503</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479"/>
      <c r="BE12" s="437"/>
      <c r="BF12" s="437" t="str">
        <f t="shared" ref="BF12:BF18" si="1">IF(T12="","",T12)</f>
        <v/>
      </c>
      <c r="BG12" s="437"/>
      <c r="BH12" s="437"/>
      <c r="BI12" s="1074">
        <v>0</v>
      </c>
    </row>
    <row r="13" spans="1:61" ht="11.25" hidden="1" customHeight="1">
      <c r="A13" s="1282"/>
      <c r="B13" s="1282"/>
      <c r="C13" s="1282"/>
      <c r="D13" s="1282"/>
      <c r="E13" s="2484"/>
      <c r="F13" s="2484"/>
      <c r="G13" s="2484"/>
      <c r="H13" s="2484"/>
      <c r="I13" s="2504"/>
      <c r="J13" s="2481"/>
      <c r="K13" s="1282"/>
      <c r="L13" s="1283"/>
      <c r="P13" s="2482"/>
      <c r="Q13" s="2482"/>
      <c r="R13" s="293"/>
      <c r="S13" s="1197"/>
      <c r="T13" s="224" t="s">
        <v>466</v>
      </c>
      <c r="U13" s="304"/>
      <c r="V13" s="304"/>
      <c r="W13" s="304"/>
      <c r="X13" s="304"/>
      <c r="Y13" s="304"/>
      <c r="Z13" s="304"/>
      <c r="AA13" s="304"/>
      <c r="AB13" s="304"/>
      <c r="AC13" s="304"/>
      <c r="AD13" s="1424"/>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480"/>
      <c r="BE13" s="437"/>
      <c r="BF13" s="437" t="str">
        <f t="shared" si="1"/>
        <v>Добавить строку</v>
      </c>
      <c r="BG13" s="437"/>
      <c r="BH13" s="437"/>
      <c r="BI13" s="1074">
        <v>0</v>
      </c>
    </row>
    <row r="14" spans="1:61" s="2245" customFormat="1" ht="14.25" hidden="1" customHeight="1">
      <c r="A14" s="1262"/>
      <c r="B14" s="1262"/>
      <c r="C14" s="1262"/>
      <c r="D14" s="1262"/>
      <c r="E14" s="2484"/>
      <c r="F14" s="2484"/>
      <c r="G14" s="2484"/>
      <c r="H14" s="2484"/>
      <c r="I14" s="2481"/>
      <c r="J14" s="1262"/>
      <c r="K14" s="1262"/>
      <c r="L14" s="1265"/>
      <c r="M14" s="447"/>
      <c r="N14" s="447"/>
      <c r="O14" s="447"/>
      <c r="P14" s="2482"/>
      <c r="Q14" s="1381"/>
      <c r="R14" s="293"/>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7"/>
      <c r="BF14" s="437" t="str">
        <f t="shared" si="1"/>
        <v/>
      </c>
      <c r="BG14" s="437"/>
      <c r="BH14" s="437"/>
      <c r="BI14" s="448">
        <v>0</v>
      </c>
    </row>
    <row r="15" spans="1:61" s="2245" customFormat="1" ht="14.25" hidden="1" customHeight="1">
      <c r="A15" s="1262"/>
      <c r="B15" s="1262"/>
      <c r="C15" s="1262"/>
      <c r="D15" s="1262"/>
      <c r="E15" s="2484"/>
      <c r="F15" s="2484"/>
      <c r="G15" s="2484"/>
      <c r="H15" s="2483"/>
      <c r="I15" s="1262"/>
      <c r="J15" s="1262"/>
      <c r="K15" s="1262"/>
      <c r="L15" s="1265"/>
      <c r="M15" s="1234"/>
      <c r="N15" s="1234"/>
      <c r="O15" s="455"/>
      <c r="P15" s="317"/>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7"/>
      <c r="BF15" s="437" t="str">
        <f t="shared" si="1"/>
        <v/>
      </c>
      <c r="BG15" s="437"/>
      <c r="BH15" s="437"/>
      <c r="BI15" s="448">
        <v>0</v>
      </c>
    </row>
    <row r="16" spans="1:61" s="2245" customFormat="1" ht="14.25" hidden="1" customHeight="1">
      <c r="A16" s="1262"/>
      <c r="B16" s="1262"/>
      <c r="C16" s="1262"/>
      <c r="D16" s="1233"/>
      <c r="E16" s="2484"/>
      <c r="F16" s="2484"/>
      <c r="G16" s="2483"/>
      <c r="H16" s="1233"/>
      <c r="I16" s="1233"/>
      <c r="J16" s="1233"/>
      <c r="K16" s="1233"/>
      <c r="L16" s="138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20"/>
      <c r="BF16" s="720" t="str">
        <f t="shared" si="1"/>
        <v/>
      </c>
      <c r="BG16" s="720"/>
      <c r="BH16" s="720"/>
      <c r="BI16" s="455">
        <v>0</v>
      </c>
    </row>
    <row r="17" spans="1:61" s="2245" customFormat="1" ht="14.25" hidden="1" customHeight="1">
      <c r="A17" s="1262"/>
      <c r="B17" s="1262"/>
      <c r="C17" s="1233"/>
      <c r="D17" s="1233"/>
      <c r="E17" s="2484"/>
      <c r="F17" s="2483"/>
      <c r="G17" s="1233"/>
      <c r="H17" s="1233"/>
      <c r="I17" s="1233"/>
      <c r="J17" s="1233"/>
      <c r="K17" s="1233"/>
      <c r="L17" s="1383"/>
      <c r="M17" s="1240"/>
      <c r="N17" s="1240"/>
      <c r="P17" s="1235"/>
      <c r="Q17" s="1236"/>
      <c r="R17" s="1235"/>
      <c r="S17" s="1241"/>
      <c r="T17" s="1244" t="s">
        <v>413</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20"/>
      <c r="BF17" s="720" t="str">
        <f t="shared" si="1"/>
        <v>Добавить централизованную систему для дифференциации</v>
      </c>
      <c r="BG17" s="720"/>
      <c r="BH17" s="720"/>
      <c r="BI17" s="455">
        <v>0</v>
      </c>
    </row>
    <row r="18" spans="1:61" s="2245" customFormat="1" ht="14.25" hidden="1" customHeight="1">
      <c r="A18" s="1262"/>
      <c r="B18" s="1262"/>
      <c r="C18" s="1262"/>
      <c r="D18" s="1262"/>
      <c r="E18" s="2483"/>
      <c r="F18" s="1262"/>
      <c r="G18" s="1262"/>
      <c r="H18" s="1262"/>
      <c r="I18" s="1262"/>
      <c r="J18" s="1262"/>
      <c r="K18" s="1262"/>
      <c r="L18" s="1265"/>
      <c r="M18" s="1240"/>
      <c r="N18" s="1240"/>
      <c r="O18" s="455"/>
      <c r="P18" s="317"/>
      <c r="Q18" s="1263"/>
      <c r="R18" s="317"/>
      <c r="S18" s="1241"/>
      <c r="T18" s="1244" t="s">
        <v>414</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7"/>
      <c r="BF18" s="437" t="str">
        <f t="shared" si="1"/>
        <v>Добавить территорию для дифференциации</v>
      </c>
      <c r="BG18" s="437"/>
      <c r="BH18" s="437"/>
      <c r="BI18" s="448">
        <v>0</v>
      </c>
    </row>
    <row r="19" spans="1:61" ht="14.25" hidden="1" customHeight="1">
      <c r="AC19" s="264"/>
      <c r="BA19" s="264"/>
      <c r="BI19" s="1074">
        <v>0</v>
      </c>
    </row>
    <row r="20" spans="1:61" ht="14.25" hidden="1" customHeight="1">
      <c r="AD20" s="1243" t="s">
        <v>19</v>
      </c>
      <c r="AE20" s="1420"/>
      <c r="AF20" s="485">
        <v>1</v>
      </c>
      <c r="AG20" s="1421"/>
      <c r="AH20" s="1243" t="s">
        <v>19</v>
      </c>
      <c r="AI20" s="1420"/>
      <c r="AJ20" s="485">
        <v>1</v>
      </c>
      <c r="AK20" s="1421"/>
      <c r="AL20" s="1243" t="s">
        <v>19</v>
      </c>
      <c r="AM20" s="1422"/>
      <c r="AN20" s="485">
        <v>1</v>
      </c>
      <c r="AO20" s="1423"/>
      <c r="AP20" s="1243" t="s">
        <v>19</v>
      </c>
      <c r="AQ20" s="1422"/>
      <c r="AR20" s="485">
        <v>1</v>
      </c>
      <c r="AS20" s="1423"/>
      <c r="AT20" s="262"/>
      <c r="AU20" s="321"/>
      <c r="AV20" s="262"/>
      <c r="AW20" s="321"/>
      <c r="AX20" s="1654"/>
      <c r="AY20" s="1379" t="s">
        <v>64</v>
      </c>
      <c r="AZ20" s="1654"/>
      <c r="BA20" s="1379" t="s">
        <v>64</v>
      </c>
      <c r="BI20" s="1074">
        <v>0</v>
      </c>
    </row>
    <row r="21" spans="1:61" ht="14.25" hidden="1" customHeight="1">
      <c r="BD21" s="433"/>
      <c r="BE21" s="433"/>
      <c r="BF21" s="433"/>
      <c r="BG21" s="433"/>
      <c r="BH21" s="433"/>
      <c r="BI21" s="1074">
        <v>0</v>
      </c>
    </row>
    <row r="22" spans="1:61" ht="14.25" hidden="1" customHeight="1">
      <c r="O22" s="1286" t="s">
        <v>415</v>
      </c>
      <c r="Z22" s="1264"/>
      <c r="AB22" s="1264"/>
      <c r="AC22" s="264"/>
      <c r="AX22" s="1264"/>
      <c r="AZ22" s="1264"/>
      <c r="BA22" s="264"/>
      <c r="BD22" s="433"/>
      <c r="BE22" s="433"/>
      <c r="BF22" s="433"/>
      <c r="BG22" s="433"/>
      <c r="BH22" s="433"/>
      <c r="BI22" s="1074">
        <v>0</v>
      </c>
    </row>
    <row r="23" spans="1:61" ht="14.25" hidden="1" customHeight="1">
      <c r="AC23" s="264"/>
      <c r="BA23" s="264"/>
      <c r="BD23" s="433"/>
      <c r="BE23" s="433"/>
      <c r="BF23" s="433"/>
      <c r="BG23" s="433"/>
      <c r="BH23" s="433"/>
      <c r="BI23" s="1074">
        <v>0</v>
      </c>
    </row>
    <row r="24" spans="1:61" s="2275" customFormat="1" ht="14.25" hidden="1" customHeight="1">
      <c r="M24" s="1427"/>
      <c r="N24" s="1427"/>
      <c r="O24" s="1428" t="s">
        <v>416</v>
      </c>
      <c r="P24" s="1427"/>
      <c r="Q24" s="1429"/>
      <c r="R24" s="1429"/>
      <c r="AA24" s="1426" t="s">
        <v>418</v>
      </c>
      <c r="AC24" s="1426" t="s">
        <v>419</v>
      </c>
      <c r="AD24" s="1426" t="s">
        <v>467</v>
      </c>
      <c r="AH24" s="1426" t="s">
        <v>467</v>
      </c>
      <c r="AK24" s="1426" t="s">
        <v>504</v>
      </c>
      <c r="AL24" s="1426" t="s">
        <v>467</v>
      </c>
      <c r="AP24" s="1426" t="s">
        <v>467</v>
      </c>
      <c r="AY24" s="1426" t="s">
        <v>418</v>
      </c>
      <c r="BA24" s="1426" t="s">
        <v>419</v>
      </c>
      <c r="BD24" s="1430"/>
      <c r="BE24" s="1430"/>
      <c r="BF24" s="1430"/>
      <c r="BG24" s="1430"/>
      <c r="BH24" s="1430"/>
      <c r="BI24" s="1426">
        <v>0</v>
      </c>
    </row>
    <row r="25" spans="1:61" ht="14.25" hidden="1" customHeight="1">
      <c r="O25" s="1283"/>
      <c r="BD25" s="433"/>
      <c r="BE25" s="433"/>
      <c r="BF25" s="433"/>
      <c r="BG25" s="433"/>
      <c r="BH25" s="433"/>
      <c r="BI25" s="1074">
        <v>0</v>
      </c>
    </row>
    <row r="26" spans="1:61" ht="14.25" hidden="1" customHeight="1">
      <c r="O26" s="1283"/>
      <c r="BD26" s="433"/>
      <c r="BE26" s="433"/>
      <c r="BF26" s="433"/>
      <c r="BG26" s="433"/>
      <c r="BH26" s="433"/>
      <c r="BI26" s="1074">
        <v>0</v>
      </c>
    </row>
    <row r="27" spans="1:61" ht="14.65" customHeight="1">
      <c r="Q27" s="228"/>
      <c r="R27" s="313"/>
      <c r="S27" s="1194"/>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74">
        <v>14</v>
      </c>
    </row>
    <row r="28" spans="1:61" ht="14.65" customHeight="1">
      <c r="Q28" s="228"/>
      <c r="R28" s="313"/>
      <c r="S28" s="2467"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467"/>
      <c r="U28" s="2467"/>
      <c r="V28" s="2467"/>
      <c r="W28" s="2467"/>
      <c r="X28" s="2467"/>
      <c r="Y28" s="2467"/>
      <c r="Z28" s="2467"/>
      <c r="AA28" s="2467"/>
      <c r="AB28" s="2467"/>
      <c r="AC28" s="2467"/>
      <c r="AD28" s="2467"/>
      <c r="AE28" s="2467"/>
      <c r="AF28" s="2467"/>
      <c r="AG28" s="2467"/>
      <c r="AH28" s="2467"/>
      <c r="AI28" s="2467"/>
      <c r="AJ28" s="2467"/>
      <c r="AK28" s="2467"/>
      <c r="AL28" s="2467"/>
      <c r="AM28" s="2467"/>
      <c r="AN28" s="2467"/>
      <c r="AO28" s="2467"/>
      <c r="AP28" s="2467"/>
      <c r="AQ28" s="2467"/>
      <c r="AR28" s="2467"/>
      <c r="AS28" s="2467"/>
      <c r="AT28" s="2467"/>
      <c r="AU28" s="2467"/>
      <c r="AV28" s="2467"/>
      <c r="AW28" s="2467"/>
      <c r="AX28" s="2467"/>
      <c r="AY28" s="2467"/>
      <c r="AZ28" s="2467"/>
      <c r="BA28" s="1162"/>
      <c r="BI28" s="1074">
        <v>14</v>
      </c>
    </row>
    <row r="29" spans="1:61" ht="14.65" customHeight="1">
      <c r="Q29" s="228"/>
      <c r="R29" s="313"/>
      <c r="S29" s="2412" t="str">
        <f>IF(org=0,"Не определено",org)</f>
        <v>МУП "Водоканал"</v>
      </c>
      <c r="T29" s="2412"/>
      <c r="U29" s="2412"/>
      <c r="V29" s="2412"/>
      <c r="W29" s="2412"/>
      <c r="X29" s="2412"/>
      <c r="Y29" s="2412"/>
      <c r="Z29" s="2412"/>
      <c r="AA29" s="2412"/>
      <c r="AB29" s="2412"/>
      <c r="AC29" s="2412"/>
      <c r="AD29" s="2412"/>
      <c r="AE29" s="2412"/>
      <c r="AF29" s="2412"/>
      <c r="AG29" s="2412"/>
      <c r="AH29" s="2412"/>
      <c r="AI29" s="2412"/>
      <c r="AJ29" s="2412"/>
      <c r="AK29" s="2412"/>
      <c r="AL29" s="2412"/>
      <c r="AM29" s="2412"/>
      <c r="AN29" s="2412"/>
      <c r="AO29" s="2412"/>
      <c r="AP29" s="2412"/>
      <c r="AQ29" s="2412"/>
      <c r="AR29" s="2412"/>
      <c r="AS29" s="2412"/>
      <c r="AT29" s="2412"/>
      <c r="AU29" s="2412"/>
      <c r="AV29" s="2412"/>
      <c r="AW29" s="2412"/>
      <c r="AX29" s="2412"/>
      <c r="AY29" s="2412"/>
      <c r="AZ29" s="2412"/>
      <c r="BA29" s="1162"/>
      <c r="BI29" s="1074">
        <v>14</v>
      </c>
    </row>
    <row r="30" spans="1:61" ht="14.25" hidden="1" customHeight="1">
      <c r="Q30" s="228"/>
      <c r="R30" s="313"/>
      <c r="S30" s="1194"/>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74">
        <v>0</v>
      </c>
    </row>
    <row r="31" spans="1:61" s="2254" customFormat="1" ht="25.5" hidden="1" customHeight="1">
      <c r="A31" s="1287"/>
      <c r="B31" s="1287"/>
      <c r="C31" s="1287"/>
      <c r="D31" s="1287"/>
      <c r="E31" s="1287"/>
      <c r="F31" s="1287"/>
      <c r="G31" s="1287"/>
      <c r="H31" s="1287"/>
      <c r="I31" s="1287"/>
      <c r="J31" s="1287"/>
      <c r="K31" s="1287"/>
      <c r="L31" s="1288"/>
      <c r="M31" s="1287"/>
      <c r="N31" s="1287"/>
      <c r="O31" s="1287"/>
      <c r="P31" s="1287"/>
      <c r="Q31" s="1287"/>
      <c r="S31" s="2475" t="s">
        <v>41</v>
      </c>
      <c r="T31" s="2475"/>
      <c r="U31" s="1291"/>
      <c r="V31" s="2476" t="str">
        <f>IF(TITLE_NAME_OR_PR_CHANGE="",IF(TITLE_NAME_OR_PR="","",TITLE_NAME_OR_PR),TITLE_NAME_OR_PR_CHANGE)</f>
        <v/>
      </c>
      <c r="W31" s="2476"/>
      <c r="X31" s="2476"/>
      <c r="Y31" s="2476"/>
      <c r="Z31" s="2476"/>
      <c r="AA31" s="2476"/>
      <c r="AB31" s="2476"/>
      <c r="AC31" s="263"/>
      <c r="AD31" s="2476" t="str">
        <f>IF(TITLE_NAME_OR_PR_CHANGE="",IF(TITLE_NAME_OR_PR="","",TITLE_NAME_OR_PR),TITLE_NAME_OR_PR_CHANGE)</f>
        <v/>
      </c>
      <c r="AE31" s="2476"/>
      <c r="AF31" s="2476"/>
      <c r="AG31" s="2476"/>
      <c r="AH31" s="2476"/>
      <c r="AI31" s="2476"/>
      <c r="AJ31" s="2476"/>
      <c r="AK31" s="2476"/>
      <c r="AL31" s="2476"/>
      <c r="AM31" s="2476"/>
      <c r="AN31" s="2476"/>
      <c r="AO31" s="2476"/>
      <c r="AP31" s="2476"/>
      <c r="AQ31" s="2476"/>
      <c r="AR31" s="2476"/>
      <c r="AS31" s="2476"/>
      <c r="AT31" s="2476"/>
      <c r="AU31" s="2476"/>
      <c r="AV31" s="2476"/>
      <c r="AW31" s="2476"/>
      <c r="AX31" s="2476"/>
      <c r="AY31" s="2476"/>
      <c r="AZ31" s="2476"/>
      <c r="BA31" s="263"/>
      <c r="BB31" s="263"/>
      <c r="BC31" s="217"/>
      <c r="BD31" s="305"/>
      <c r="BE31" s="305"/>
      <c r="BF31" s="305"/>
      <c r="BG31" s="305"/>
      <c r="BH31" s="305"/>
      <c r="BI31" s="355">
        <v>0</v>
      </c>
    </row>
    <row r="32" spans="1:61" s="2254" customFormat="1" ht="18.75" hidden="1" customHeight="1">
      <c r="A32" s="1287"/>
      <c r="B32" s="1287"/>
      <c r="C32" s="1287"/>
      <c r="D32" s="1287"/>
      <c r="E32" s="1287"/>
      <c r="F32" s="1287"/>
      <c r="G32" s="1287"/>
      <c r="H32" s="1287"/>
      <c r="I32" s="1287"/>
      <c r="J32" s="1287"/>
      <c r="K32" s="1287"/>
      <c r="L32" s="1288"/>
      <c r="M32" s="1287"/>
      <c r="N32" s="1287"/>
      <c r="O32" s="1287"/>
      <c r="P32" s="1287"/>
      <c r="Q32" s="1287"/>
      <c r="S32" s="2475" t="s">
        <v>421</v>
      </c>
      <c r="T32" s="2475"/>
      <c r="U32" s="1291"/>
      <c r="V32" s="2485" t="str">
        <f>IF(TITLE_DATE_PR_CHANGE="",IF(TITLE_DATE_PR="","",TITLE_DATE_PR),TITLE_DATE_PR_CHANGE)</f>
        <v/>
      </c>
      <c r="W32" s="2485"/>
      <c r="X32" s="2485"/>
      <c r="Y32" s="2485"/>
      <c r="Z32" s="2485"/>
      <c r="AA32" s="2485"/>
      <c r="AB32" s="2485"/>
      <c r="AC32" s="263"/>
      <c r="AD32" s="2485" t="str">
        <f>IF(TITLE_DATE_PR_CHANGE="",IF(TITLE_DATE_PR="","",TITLE_DATE_PR),TITLE_DATE_PR_CHANGE)</f>
        <v/>
      </c>
      <c r="AE32" s="2485"/>
      <c r="AF32" s="2485"/>
      <c r="AG32" s="2485"/>
      <c r="AH32" s="2485"/>
      <c r="AI32" s="2485"/>
      <c r="AJ32" s="2485"/>
      <c r="AK32" s="2485"/>
      <c r="AL32" s="2485"/>
      <c r="AM32" s="2485"/>
      <c r="AN32" s="2485"/>
      <c r="AO32" s="2485"/>
      <c r="AP32" s="2485"/>
      <c r="AQ32" s="2485"/>
      <c r="AR32" s="2485"/>
      <c r="AS32" s="2485"/>
      <c r="AT32" s="2485"/>
      <c r="AU32" s="2485"/>
      <c r="AV32" s="2485"/>
      <c r="AW32" s="2485"/>
      <c r="AX32" s="2485"/>
      <c r="AY32" s="2485"/>
      <c r="AZ32" s="2485"/>
      <c r="BA32" s="263"/>
      <c r="BB32" s="263"/>
      <c r="BC32" s="217"/>
      <c r="BD32" s="305"/>
      <c r="BE32" s="305"/>
      <c r="BF32" s="305"/>
      <c r="BG32" s="305"/>
      <c r="BH32" s="305"/>
      <c r="BI32" s="355">
        <v>0</v>
      </c>
    </row>
    <row r="33" spans="1:61" s="2254" customFormat="1" ht="18.75" hidden="1" customHeight="1">
      <c r="A33" s="1287"/>
      <c r="B33" s="1287"/>
      <c r="C33" s="1287"/>
      <c r="D33" s="1287"/>
      <c r="E33" s="1287"/>
      <c r="F33" s="1287"/>
      <c r="G33" s="1287"/>
      <c r="H33" s="1287"/>
      <c r="I33" s="1287"/>
      <c r="J33" s="1287"/>
      <c r="K33" s="1287"/>
      <c r="L33" s="1288"/>
      <c r="M33" s="1287"/>
      <c r="N33" s="1287"/>
      <c r="O33" s="1287"/>
      <c r="P33" s="1287"/>
      <c r="Q33" s="1287"/>
      <c r="S33" s="2475" t="s">
        <v>422</v>
      </c>
      <c r="T33" s="2475"/>
      <c r="U33" s="1291"/>
      <c r="V33" s="2476" t="str">
        <f>IF(TITLE_NUMBER_PR_CHANGE="",IF(TITLE_NUMBER_PR="","",TITLE_NUMBER_PR),TITLE_NUMBER_PR_CHANGE)</f>
        <v/>
      </c>
      <c r="W33" s="2476"/>
      <c r="X33" s="2476"/>
      <c r="Y33" s="2476"/>
      <c r="Z33" s="2476"/>
      <c r="AA33" s="2476"/>
      <c r="AB33" s="2476"/>
      <c r="AC33" s="263"/>
      <c r="AD33" s="2476" t="str">
        <f>IF(TITLE_NUMBER_PR_CHANGE="",IF(TITLE_NUMBER_PR="","",TITLE_NUMBER_PR),TITLE_NUMBER_PR_CHANGE)</f>
        <v/>
      </c>
      <c r="AE33" s="2476"/>
      <c r="AF33" s="2476"/>
      <c r="AG33" s="2476"/>
      <c r="AH33" s="2476"/>
      <c r="AI33" s="2476"/>
      <c r="AJ33" s="2476"/>
      <c r="AK33" s="2476"/>
      <c r="AL33" s="2476"/>
      <c r="AM33" s="2476"/>
      <c r="AN33" s="2476"/>
      <c r="AO33" s="2476"/>
      <c r="AP33" s="2476"/>
      <c r="AQ33" s="2476"/>
      <c r="AR33" s="2476"/>
      <c r="AS33" s="2476"/>
      <c r="AT33" s="2476"/>
      <c r="AU33" s="2476"/>
      <c r="AV33" s="2476"/>
      <c r="AW33" s="2476"/>
      <c r="AX33" s="2476"/>
      <c r="AY33" s="2476"/>
      <c r="AZ33" s="2476"/>
      <c r="BA33" s="263"/>
      <c r="BB33" s="263"/>
      <c r="BC33" s="217"/>
      <c r="BD33" s="305"/>
      <c r="BE33" s="305"/>
      <c r="BF33" s="305"/>
      <c r="BG33" s="305"/>
      <c r="BH33" s="305"/>
      <c r="BI33" s="355">
        <v>0</v>
      </c>
    </row>
    <row r="34" spans="1:61" s="2254" customFormat="1" ht="18.75" hidden="1" customHeight="1">
      <c r="A34" s="1287"/>
      <c r="B34" s="1287"/>
      <c r="C34" s="1287"/>
      <c r="D34" s="1287"/>
      <c r="E34" s="1287"/>
      <c r="F34" s="1287"/>
      <c r="G34" s="1287"/>
      <c r="H34" s="1287"/>
      <c r="I34" s="1287"/>
      <c r="J34" s="1287"/>
      <c r="K34" s="1287"/>
      <c r="L34" s="1288"/>
      <c r="M34" s="1287"/>
      <c r="N34" s="1287"/>
      <c r="O34" s="1287"/>
      <c r="P34" s="1287"/>
      <c r="Q34" s="1287"/>
      <c r="S34" s="2475" t="s">
        <v>42</v>
      </c>
      <c r="T34" s="2475"/>
      <c r="U34" s="1291"/>
      <c r="V34" s="2476" t="str">
        <f>IF(TITLE_IST_PUB_CHANGE="",IF(TITLE_IST_PUB="","",TITLE_IST_PUB),TITLE_IST_PUB_CHANGE)</f>
        <v/>
      </c>
      <c r="W34" s="2476"/>
      <c r="X34" s="2476"/>
      <c r="Y34" s="2476"/>
      <c r="Z34" s="2476"/>
      <c r="AA34" s="2476"/>
      <c r="AB34" s="2476"/>
      <c r="AC34" s="263"/>
      <c r="AD34" s="2476" t="str">
        <f>IF(TITLE_IST_PUB_CHANGE="",IF(TITLE_IST_PUB="","",TITLE_IST_PUB),TITLE_IST_PUB_CHANGE)</f>
        <v/>
      </c>
      <c r="AE34" s="2476"/>
      <c r="AF34" s="2476"/>
      <c r="AG34" s="2476"/>
      <c r="AH34" s="2476"/>
      <c r="AI34" s="2476"/>
      <c r="AJ34" s="2476"/>
      <c r="AK34" s="2476"/>
      <c r="AL34" s="2476"/>
      <c r="AM34" s="2476"/>
      <c r="AN34" s="2476"/>
      <c r="AO34" s="2476"/>
      <c r="AP34" s="2476"/>
      <c r="AQ34" s="2476"/>
      <c r="AR34" s="2476"/>
      <c r="AS34" s="2476"/>
      <c r="AT34" s="2476"/>
      <c r="AU34" s="2476"/>
      <c r="AV34" s="2476"/>
      <c r="AW34" s="2476"/>
      <c r="AX34" s="2476"/>
      <c r="AY34" s="2476"/>
      <c r="AZ34" s="2476"/>
      <c r="BA34" s="263"/>
      <c r="BB34" s="263"/>
      <c r="BC34" s="217"/>
      <c r="BD34" s="305"/>
      <c r="BE34" s="305"/>
      <c r="BF34" s="305"/>
      <c r="BG34" s="305"/>
      <c r="BH34" s="305"/>
      <c r="BI34" s="355">
        <v>0</v>
      </c>
    </row>
    <row r="35" spans="1:61" ht="14.25" hidden="1" customHeight="1">
      <c r="Q35" s="228"/>
      <c r="R35" s="313"/>
      <c r="S35" s="1194"/>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74">
        <v>0</v>
      </c>
    </row>
    <row r="36" spans="1:61" s="2254" customFormat="1" ht="18.75" hidden="1" customHeight="1">
      <c r="A36" s="1287"/>
      <c r="B36" s="1287"/>
      <c r="C36" s="1287"/>
      <c r="D36" s="1287"/>
      <c r="E36" s="1287"/>
      <c r="F36" s="1287"/>
      <c r="G36" s="1287"/>
      <c r="H36" s="1287"/>
      <c r="I36" s="1287"/>
      <c r="J36" s="1287"/>
      <c r="K36" s="1287"/>
      <c r="L36" s="1288"/>
      <c r="M36" s="1287"/>
      <c r="N36" s="1287"/>
      <c r="O36" s="1287"/>
      <c r="P36" s="1287"/>
      <c r="Q36" s="1287"/>
      <c r="S36" s="2475" t="s">
        <v>421</v>
      </c>
      <c r="T36" s="2475"/>
      <c r="U36" s="1291"/>
      <c r="V36" s="2485" t="str">
        <f>IF(TITLE_DATE_PR_CHANGE="",IF(TITLE_DATE_PR="","",TITLE_DATE_PR),TITLE_DATE_PR_CHANGE)</f>
        <v/>
      </c>
      <c r="W36" s="2485"/>
      <c r="X36" s="2485"/>
      <c r="Y36" s="2485"/>
      <c r="Z36" s="2485"/>
      <c r="AA36" s="2485"/>
      <c r="AB36" s="2485"/>
      <c r="AC36" s="263"/>
      <c r="AD36" s="2485" t="str">
        <f>IF(TITLE_DATE_PR_CHANGE="",IF(TITLE_DATE_PR="","",TITLE_DATE_PR),TITLE_DATE_PR_CHANGE)</f>
        <v/>
      </c>
      <c r="AE36" s="2485"/>
      <c r="AF36" s="2485"/>
      <c r="AG36" s="2485"/>
      <c r="AH36" s="2485"/>
      <c r="AI36" s="2485"/>
      <c r="AJ36" s="2485"/>
      <c r="AK36" s="2485"/>
      <c r="AL36" s="2485"/>
      <c r="AM36" s="2485"/>
      <c r="AN36" s="2485"/>
      <c r="AO36" s="2485"/>
      <c r="AP36" s="2485"/>
      <c r="AQ36" s="2485"/>
      <c r="AR36" s="2485"/>
      <c r="AS36" s="2485"/>
      <c r="AT36" s="2485"/>
      <c r="AU36" s="2485"/>
      <c r="AV36" s="2485"/>
      <c r="AW36" s="2485"/>
      <c r="AX36" s="2485"/>
      <c r="AY36" s="2485"/>
      <c r="AZ36" s="2485"/>
      <c r="BA36" s="263"/>
      <c r="BB36" s="263"/>
      <c r="BC36" s="217"/>
      <c r="BD36" s="305"/>
      <c r="BE36" s="305"/>
      <c r="BF36" s="305"/>
      <c r="BG36" s="305"/>
      <c r="BH36" s="305"/>
      <c r="BI36" s="355">
        <v>0</v>
      </c>
    </row>
    <row r="37" spans="1:61" s="2254" customFormat="1" ht="18.75" hidden="1" customHeight="1">
      <c r="A37" s="1287"/>
      <c r="B37" s="1287"/>
      <c r="C37" s="1287"/>
      <c r="D37" s="1287"/>
      <c r="E37" s="1287"/>
      <c r="F37" s="1287"/>
      <c r="G37" s="1287"/>
      <c r="H37" s="1287"/>
      <c r="I37" s="1287"/>
      <c r="J37" s="1287"/>
      <c r="K37" s="1287"/>
      <c r="L37" s="1288"/>
      <c r="M37" s="1287"/>
      <c r="N37" s="1287"/>
      <c r="O37" s="1287"/>
      <c r="P37" s="1287"/>
      <c r="Q37" s="1287"/>
      <c r="S37" s="2475" t="s">
        <v>422</v>
      </c>
      <c r="T37" s="2475"/>
      <c r="U37" s="1291"/>
      <c r="V37" s="2476" t="str">
        <f>IF(TITLE_NUMBER_PR_CHANGE="",IF(TITLE_NUMBER_PR="","",TITLE_NUMBER_PR),TITLE_NUMBER_PR_CHANGE)</f>
        <v/>
      </c>
      <c r="W37" s="2476"/>
      <c r="X37" s="2476"/>
      <c r="Y37" s="2476"/>
      <c r="Z37" s="2476"/>
      <c r="AA37" s="2476"/>
      <c r="AB37" s="2476"/>
      <c r="AC37" s="263"/>
      <c r="AD37" s="2476" t="str">
        <f>IF(TITLE_NUMBER_PR_CHANGE="",IF(TITLE_NUMBER_PR="","",TITLE_NUMBER_PR),TITLE_NUMBER_PR_CHANGE)</f>
        <v/>
      </c>
      <c r="AE37" s="2476"/>
      <c r="AF37" s="2476"/>
      <c r="AG37" s="2476"/>
      <c r="AH37" s="2476"/>
      <c r="AI37" s="2476"/>
      <c r="AJ37" s="2476"/>
      <c r="AK37" s="2476"/>
      <c r="AL37" s="2476"/>
      <c r="AM37" s="2476"/>
      <c r="AN37" s="2476"/>
      <c r="AO37" s="2476"/>
      <c r="AP37" s="2476"/>
      <c r="AQ37" s="2476"/>
      <c r="AR37" s="2476"/>
      <c r="AS37" s="2476"/>
      <c r="AT37" s="2476"/>
      <c r="AU37" s="2476"/>
      <c r="AV37" s="2476"/>
      <c r="AW37" s="2476"/>
      <c r="AX37" s="2476"/>
      <c r="AY37" s="2476"/>
      <c r="AZ37" s="2476"/>
      <c r="BA37" s="263"/>
      <c r="BB37" s="263"/>
      <c r="BC37" s="217"/>
      <c r="BD37" s="305"/>
      <c r="BE37" s="305"/>
      <c r="BF37" s="305"/>
      <c r="BG37" s="305"/>
      <c r="BH37" s="305"/>
      <c r="BI37" s="355">
        <v>0</v>
      </c>
    </row>
    <row r="38" spans="1:61" s="2254"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373"/>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194"/>
      <c r="T39" s="300"/>
      <c r="U39" s="1163"/>
      <c r="V39" s="2477"/>
      <c r="W39" s="2477"/>
      <c r="X39" s="2477"/>
      <c r="Y39" s="2477"/>
      <c r="Z39" s="2477"/>
      <c r="AA39" s="2477"/>
      <c r="AB39" s="2477"/>
      <c r="AC39" s="2477"/>
      <c r="AD39" s="2477"/>
      <c r="AE39" s="2477"/>
      <c r="AF39" s="2477"/>
      <c r="AG39" s="2477"/>
      <c r="AH39" s="2477"/>
      <c r="AI39" s="2477"/>
      <c r="AJ39" s="2477"/>
      <c r="AK39" s="2477"/>
      <c r="AL39" s="2477"/>
      <c r="AM39" s="2477"/>
      <c r="AN39" s="2477"/>
      <c r="AO39" s="2477"/>
      <c r="AP39" s="2477"/>
      <c r="AQ39" s="2477"/>
      <c r="AR39" s="2477"/>
      <c r="AS39" s="2477"/>
      <c r="AT39" s="2477"/>
      <c r="AU39" s="2477"/>
      <c r="AV39" s="2477"/>
      <c r="AW39" s="2477"/>
      <c r="AX39" s="2477"/>
      <c r="AY39" s="2477"/>
      <c r="AZ39" s="2477"/>
      <c r="BA39" s="2477"/>
      <c r="BI39" s="1074">
        <v>14</v>
      </c>
    </row>
    <row r="40" spans="1:61" ht="14.65" customHeight="1">
      <c r="Q40" s="228"/>
      <c r="R40" s="313"/>
      <c r="S40" s="2363" t="s">
        <v>298</v>
      </c>
      <c r="T40" s="2363"/>
      <c r="U40" s="2363"/>
      <c r="V40" s="2363"/>
      <c r="W40" s="2363"/>
      <c r="X40" s="2363"/>
      <c r="Y40" s="2363"/>
      <c r="Z40" s="2363"/>
      <c r="AA40" s="2363"/>
      <c r="AB40" s="2363"/>
      <c r="AC40" s="2363"/>
      <c r="AD40" s="2363"/>
      <c r="AE40" s="2363"/>
      <c r="AF40" s="2363"/>
      <c r="AG40" s="2363"/>
      <c r="AH40" s="2363"/>
      <c r="AI40" s="2363"/>
      <c r="AJ40" s="2363"/>
      <c r="AK40" s="2363"/>
      <c r="AL40" s="2363"/>
      <c r="AM40" s="2363"/>
      <c r="AN40" s="2363"/>
      <c r="AO40" s="2363"/>
      <c r="AP40" s="2363"/>
      <c r="AQ40" s="2363"/>
      <c r="AR40" s="2363"/>
      <c r="AS40" s="2363"/>
      <c r="AT40" s="2363"/>
      <c r="AU40" s="2363"/>
      <c r="AV40" s="2363"/>
      <c r="AW40" s="2363"/>
      <c r="AX40" s="2363"/>
      <c r="AY40" s="2363"/>
      <c r="AZ40" s="2363"/>
      <c r="BA40" s="2363"/>
      <c r="BB40" s="2363"/>
      <c r="BC40" s="2363" t="s">
        <v>299</v>
      </c>
      <c r="BI40" s="1074">
        <v>14</v>
      </c>
    </row>
    <row r="41" spans="1:61" ht="14.65" customHeight="1">
      <c r="Q41" s="228"/>
      <c r="R41" s="313"/>
      <c r="S41" s="2491" t="s">
        <v>87</v>
      </c>
      <c r="T41" s="2442" t="s">
        <v>505</v>
      </c>
      <c r="U41" s="238"/>
      <c r="V41" s="2492" t="s">
        <v>427</v>
      </c>
      <c r="W41" s="2493"/>
      <c r="X41" s="2493"/>
      <c r="Y41" s="2493"/>
      <c r="Z41" s="2493"/>
      <c r="AA41" s="2493"/>
      <c r="AB41" s="2494"/>
      <c r="AC41" s="2495" t="s">
        <v>428</v>
      </c>
      <c r="AD41" s="2528" t="s">
        <v>506</v>
      </c>
      <c r="AE41" s="2509"/>
      <c r="AF41" s="2509"/>
      <c r="AG41" s="2529"/>
      <c r="AH41" s="2528" t="s">
        <v>507</v>
      </c>
      <c r="AI41" s="2509"/>
      <c r="AJ41" s="2509"/>
      <c r="AK41" s="2529"/>
      <c r="AL41" s="2528" t="s">
        <v>508</v>
      </c>
      <c r="AM41" s="2509"/>
      <c r="AN41" s="2509"/>
      <c r="AO41" s="2529"/>
      <c r="AP41" s="2528" t="s">
        <v>509</v>
      </c>
      <c r="AQ41" s="2509"/>
      <c r="AR41" s="2509"/>
      <c r="AS41" s="2529"/>
      <c r="AT41" s="2492" t="s">
        <v>427</v>
      </c>
      <c r="AU41" s="2493"/>
      <c r="AV41" s="2493"/>
      <c r="AW41" s="2493"/>
      <c r="AX41" s="2493"/>
      <c r="AY41" s="2493"/>
      <c r="AZ41" s="2494"/>
      <c r="BA41" s="2495" t="s">
        <v>428</v>
      </c>
      <c r="BB41" s="2498" t="s">
        <v>430</v>
      </c>
      <c r="BC41" s="2363"/>
      <c r="BI41" s="1074">
        <v>14</v>
      </c>
    </row>
    <row r="42" spans="1:61" ht="35.65" customHeight="1">
      <c r="Q42" s="228"/>
      <c r="R42" s="313"/>
      <c r="S42" s="2491"/>
      <c r="T42" s="2442"/>
      <c r="U42" s="955"/>
      <c r="V42" s="2428" t="s">
        <v>510</v>
      </c>
      <c r="W42" s="2429"/>
      <c r="X42" s="2428" t="s">
        <v>511</v>
      </c>
      <c r="Y42" s="2429"/>
      <c r="Z42" s="2428" t="s">
        <v>512</v>
      </c>
      <c r="AA42" s="2523"/>
      <c r="AB42" s="2429"/>
      <c r="AC42" s="2496"/>
      <c r="AD42" s="2530"/>
      <c r="AE42" s="2531"/>
      <c r="AF42" s="2531"/>
      <c r="AG42" s="2532"/>
      <c r="AH42" s="2530"/>
      <c r="AI42" s="2531"/>
      <c r="AJ42" s="2531"/>
      <c r="AK42" s="2532"/>
      <c r="AL42" s="2530"/>
      <c r="AM42" s="2531"/>
      <c r="AN42" s="2531"/>
      <c r="AO42" s="2532"/>
      <c r="AP42" s="2530"/>
      <c r="AQ42" s="2531"/>
      <c r="AR42" s="2531"/>
      <c r="AS42" s="2532"/>
      <c r="AT42" s="2428" t="s">
        <v>510</v>
      </c>
      <c r="AU42" s="2429"/>
      <c r="AV42" s="2428" t="s">
        <v>511</v>
      </c>
      <c r="AW42" s="2429"/>
      <c r="AX42" s="2428" t="s">
        <v>512</v>
      </c>
      <c r="AY42" s="2523"/>
      <c r="AZ42" s="2429"/>
      <c r="BA42" s="2496"/>
      <c r="BB42" s="2499"/>
      <c r="BC42" s="2363"/>
      <c r="BI42" s="1074">
        <v>34</v>
      </c>
    </row>
    <row r="43" spans="1:61" ht="14.65" customHeight="1">
      <c r="Q43" s="228"/>
      <c r="R43" s="313"/>
      <c r="S43" s="2491"/>
      <c r="T43" s="2442"/>
      <c r="U43" s="955"/>
      <c r="V43" s="2433"/>
      <c r="W43" s="2434"/>
      <c r="X43" s="2433"/>
      <c r="Y43" s="2434"/>
      <c r="Z43" s="2433"/>
      <c r="AA43" s="2524"/>
      <c r="AB43" s="2434"/>
      <c r="AC43" s="2496"/>
      <c r="AD43" s="2530"/>
      <c r="AE43" s="2531"/>
      <c r="AF43" s="2531"/>
      <c r="AG43" s="2532"/>
      <c r="AH43" s="2530"/>
      <c r="AI43" s="2531"/>
      <c r="AJ43" s="2531"/>
      <c r="AK43" s="2532"/>
      <c r="AL43" s="2530"/>
      <c r="AM43" s="2531"/>
      <c r="AN43" s="2531"/>
      <c r="AO43" s="2532"/>
      <c r="AP43" s="2530"/>
      <c r="AQ43" s="2531"/>
      <c r="AR43" s="2531"/>
      <c r="AS43" s="2532"/>
      <c r="AT43" s="2433"/>
      <c r="AU43" s="2434"/>
      <c r="AV43" s="2433"/>
      <c r="AW43" s="2434"/>
      <c r="AX43" s="2433"/>
      <c r="AY43" s="2524"/>
      <c r="AZ43" s="2434"/>
      <c r="BA43" s="2496"/>
      <c r="BB43" s="2499"/>
      <c r="BC43" s="2363"/>
      <c r="BI43" s="1074">
        <v>14</v>
      </c>
    </row>
    <row r="44" spans="1:61" ht="14.65" customHeight="1">
      <c r="A44" s="1289"/>
      <c r="B44" s="1289" t="s">
        <v>135</v>
      </c>
      <c r="C44" s="1289" t="s">
        <v>136</v>
      </c>
      <c r="D44" s="1289" t="s">
        <v>137</v>
      </c>
      <c r="E44" s="1283" t="s">
        <v>435</v>
      </c>
      <c r="F44" s="1283" t="s">
        <v>436</v>
      </c>
      <c r="G44" s="1283" t="s">
        <v>437</v>
      </c>
      <c r="H44" s="1283" t="s">
        <v>438</v>
      </c>
      <c r="I44" s="1283" t="s">
        <v>439</v>
      </c>
      <c r="J44" s="1283" t="s">
        <v>440</v>
      </c>
      <c r="K44" s="1283" t="s">
        <v>441</v>
      </c>
      <c r="L44" s="1283" t="s">
        <v>416</v>
      </c>
      <c r="Q44" s="228"/>
      <c r="R44" s="313"/>
      <c r="S44" s="2491"/>
      <c r="T44" s="2442"/>
      <c r="U44" s="239"/>
      <c r="V44" s="1367" t="s">
        <v>476</v>
      </c>
      <c r="W44" s="1367" t="s">
        <v>477</v>
      </c>
      <c r="X44" s="1367" t="s">
        <v>476</v>
      </c>
      <c r="Y44" s="1367" t="s">
        <v>477</v>
      </c>
      <c r="Z44" s="1374" t="s">
        <v>444</v>
      </c>
      <c r="AA44" s="2451" t="s">
        <v>445</v>
      </c>
      <c r="AB44" s="2453"/>
      <c r="AC44" s="2497"/>
      <c r="AD44" s="2533"/>
      <c r="AE44" s="2534"/>
      <c r="AF44" s="2534"/>
      <c r="AG44" s="2535"/>
      <c r="AH44" s="2533"/>
      <c r="AI44" s="2534"/>
      <c r="AJ44" s="2534"/>
      <c r="AK44" s="2535"/>
      <c r="AL44" s="2533"/>
      <c r="AM44" s="2534"/>
      <c r="AN44" s="2534"/>
      <c r="AO44" s="2535"/>
      <c r="AP44" s="2533"/>
      <c r="AQ44" s="2534"/>
      <c r="AR44" s="2534"/>
      <c r="AS44" s="2535"/>
      <c r="AT44" s="1367" t="s">
        <v>476</v>
      </c>
      <c r="AU44" s="1367" t="s">
        <v>477</v>
      </c>
      <c r="AV44" s="1367" t="s">
        <v>476</v>
      </c>
      <c r="AW44" s="1367" t="s">
        <v>477</v>
      </c>
      <c r="AX44" s="1374" t="s">
        <v>444</v>
      </c>
      <c r="AY44" s="2451" t="s">
        <v>445</v>
      </c>
      <c r="AZ44" s="2453"/>
      <c r="BA44" s="2497"/>
      <c r="BB44" s="2500"/>
      <c r="BC44" s="2363"/>
      <c r="BI44" s="1074">
        <v>14</v>
      </c>
    </row>
    <row r="45" spans="1:61" s="2269" customFormat="1" ht="11.25" hidden="1" customHeight="1">
      <c r="A45" s="1289"/>
      <c r="B45" s="1289"/>
      <c r="C45" s="1289"/>
      <c r="D45" s="1289"/>
      <c r="E45" s="1289"/>
      <c r="F45" s="1289"/>
      <c r="G45" s="1289"/>
      <c r="H45" s="1289"/>
      <c r="I45" s="1289"/>
      <c r="J45" s="1289"/>
      <c r="K45" s="1289"/>
      <c r="L45" s="1283"/>
      <c r="M45" s="1281"/>
      <c r="N45" s="1281"/>
      <c r="O45" s="1281"/>
      <c r="P45" s="447"/>
      <c r="Q45" s="1173"/>
      <c r="R45" s="1173">
        <v>1</v>
      </c>
      <c r="S45" s="1196" t="s">
        <v>108</v>
      </c>
      <c r="T45" s="1174" t="s">
        <v>109</v>
      </c>
      <c r="U45" s="1164" t="str">
        <f ca="1">OFFSET(U45,0,-1)</f>
        <v>2</v>
      </c>
      <c r="V45" s="1370">
        <f t="shared" ref="V45:AA45" ca="1" si="2">OFFSET(V45,0,-1)+1</f>
        <v>3</v>
      </c>
      <c r="W45" s="1370">
        <f t="shared" ca="1" si="2"/>
        <v>4</v>
      </c>
      <c r="X45" s="1370">
        <f t="shared" ca="1" si="2"/>
        <v>5</v>
      </c>
      <c r="Y45" s="1370">
        <f t="shared" ca="1" si="2"/>
        <v>6</v>
      </c>
      <c r="Z45" s="1370">
        <f t="shared" ca="1" si="2"/>
        <v>7</v>
      </c>
      <c r="AA45" s="2490">
        <f t="shared" ca="1" si="2"/>
        <v>8</v>
      </c>
      <c r="AB45" s="2490"/>
      <c r="AC45" s="1370">
        <f ca="1">OFFSET(AC45,0,-2)+1</f>
        <v>9</v>
      </c>
      <c r="AD45" s="1370">
        <f ca="1">OFFSET(AD45,0,-1)+1</f>
        <v>10</v>
      </c>
      <c r="AE45" s="1370"/>
      <c r="AF45" s="1370"/>
      <c r="AG45" s="1370"/>
      <c r="AH45" s="1370"/>
      <c r="AI45" s="1370"/>
      <c r="AJ45" s="1370"/>
      <c r="AK45" s="1370"/>
      <c r="AL45" s="1370"/>
      <c r="AM45" s="1370"/>
      <c r="AN45" s="1370"/>
      <c r="AO45" s="1370"/>
      <c r="AP45" s="1370"/>
      <c r="AQ45" s="1370"/>
      <c r="AR45" s="1370"/>
      <c r="AS45" s="1370"/>
      <c r="AT45" s="1370"/>
      <c r="AU45" s="1370"/>
      <c r="AV45" s="1370"/>
      <c r="AW45" s="1370">
        <f ca="1">OFFSET(AW45,0,-1)+1</f>
        <v>1</v>
      </c>
      <c r="AX45" s="1370">
        <f ca="1">OFFSET(AX45,0,-1)+1</f>
        <v>2</v>
      </c>
      <c r="AY45" s="2490">
        <f ca="1">OFFSET(AY45,0,-1)+1</f>
        <v>3</v>
      </c>
      <c r="AZ45" s="2490"/>
      <c r="BA45" s="1370">
        <f ca="1">OFFSET(BA45,0,-2)+1</f>
        <v>4</v>
      </c>
      <c r="BB45" s="1164">
        <f ca="1">OFFSET(BB45,0,-1)</f>
        <v>4</v>
      </c>
      <c r="BC45" s="1370">
        <f ca="1">OFFSET(BC45,0,-1)+1</f>
        <v>5</v>
      </c>
      <c r="BD45" s="448"/>
      <c r="BE45" s="448"/>
      <c r="BF45" s="448"/>
      <c r="BG45" s="448"/>
      <c r="BH45" s="448"/>
      <c r="BI45" s="433">
        <v>0</v>
      </c>
    </row>
    <row r="46" spans="1:61" ht="21.95" customHeight="1">
      <c r="A46" s="1282" t="s">
        <v>244</v>
      </c>
      <c r="B46" s="1282"/>
      <c r="C46" s="1282"/>
      <c r="D46" s="1282"/>
      <c r="E46" s="2483">
        <v>1</v>
      </c>
      <c r="F46" s="1282"/>
      <c r="G46" s="1282"/>
      <c r="H46" s="1282"/>
      <c r="I46" s="1282"/>
      <c r="J46" s="1282"/>
      <c r="K46" s="1282"/>
      <c r="L46" s="1283"/>
      <c r="M46" s="1284"/>
      <c r="N46" s="1284"/>
      <c r="O46" s="1284"/>
      <c r="P46" s="1328"/>
      <c r="Q46" s="800"/>
      <c r="R46" s="292"/>
      <c r="S46" s="1376">
        <f>INDEX(PT_DIFFERENTIATION_NUM_NTAR,MATCH(A46,PT_DIFFERENTIATION_NTAR_ID,0))</f>
        <v>0</v>
      </c>
      <c r="T46" s="235" t="s">
        <v>123</v>
      </c>
      <c r="U46" s="237"/>
      <c r="V46" s="2470"/>
      <c r="W46" s="2470"/>
      <c r="X46" s="2470"/>
      <c r="Y46" s="2470"/>
      <c r="Z46" s="2470"/>
      <c r="AA46" s="2470"/>
      <c r="AB46" s="2470"/>
      <c r="AC46" s="2471"/>
      <c r="AD46" s="2469" t="str">
        <f>INDEX(PT_DIFFERENTIATION_NTAR,MATCH(A46,PT_DIFFERENTIATION_NTAR_ID,0))</f>
        <v/>
      </c>
      <c r="AE46" s="2470"/>
      <c r="AF46" s="2470"/>
      <c r="AG46" s="2470"/>
      <c r="AH46" s="2470"/>
      <c r="AI46" s="2470"/>
      <c r="AJ46" s="2470"/>
      <c r="AK46" s="2470"/>
      <c r="AL46" s="2470"/>
      <c r="AM46" s="2470"/>
      <c r="AN46" s="2470"/>
      <c r="AO46" s="2470"/>
      <c r="AP46" s="2470"/>
      <c r="AQ46" s="2470"/>
      <c r="AR46" s="2470"/>
      <c r="AS46" s="2470"/>
      <c r="AT46" s="2470"/>
      <c r="AU46" s="2470"/>
      <c r="AV46" s="2470"/>
      <c r="AW46" s="2470"/>
      <c r="AX46" s="2470"/>
      <c r="AY46" s="2470"/>
      <c r="AZ46" s="2470"/>
      <c r="BA46" s="2470"/>
      <c r="BB46" s="2471"/>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74">
        <v>21</v>
      </c>
    </row>
    <row r="47" spans="1:61" ht="21.95" customHeight="1">
      <c r="A47" s="1282" t="s">
        <v>244</v>
      </c>
      <c r="B47" s="1282" t="s">
        <v>245</v>
      </c>
      <c r="C47" s="1282"/>
      <c r="D47" s="1282"/>
      <c r="E47" s="2484"/>
      <c r="F47" s="2483">
        <v>1</v>
      </c>
      <c r="G47" s="1282"/>
      <c r="H47" s="1282"/>
      <c r="I47" s="1282"/>
      <c r="J47" s="1282"/>
      <c r="K47" s="1282"/>
      <c r="L47" s="1283"/>
      <c r="M47" s="1284"/>
      <c r="N47" s="1284"/>
      <c r="O47" s="1284"/>
      <c r="P47" s="1329"/>
      <c r="Q47" s="1330"/>
      <c r="R47" s="290"/>
      <c r="S47" s="1376" t="str">
        <f>INDEX(PT_DIFFERENTIATION_NUM_TER,MATCH(B47,PT_DIFFERENTIATION_TER_ID,0))</f>
        <v>.</v>
      </c>
      <c r="T47" s="245" t="s">
        <v>395</v>
      </c>
      <c r="U47" s="237"/>
      <c r="V47" s="2470"/>
      <c r="W47" s="2470"/>
      <c r="X47" s="2470"/>
      <c r="Y47" s="2470"/>
      <c r="Z47" s="2470"/>
      <c r="AA47" s="2470"/>
      <c r="AB47" s="2470"/>
      <c r="AC47" s="2471"/>
      <c r="AD47" s="2469" t="str">
        <f>INDEX(PT_DIFFERENTIATION_TER,MATCH(B47,PT_DIFFERENTIATION_TER_ID,0))</f>
        <v/>
      </c>
      <c r="AE47" s="2470"/>
      <c r="AF47" s="2470"/>
      <c r="AG47" s="2470"/>
      <c r="AH47" s="2470"/>
      <c r="AI47" s="2470"/>
      <c r="AJ47" s="2470"/>
      <c r="AK47" s="2470"/>
      <c r="AL47" s="2470"/>
      <c r="AM47" s="2470"/>
      <c r="AN47" s="2470"/>
      <c r="AO47" s="2470"/>
      <c r="AP47" s="2470"/>
      <c r="AQ47" s="2470"/>
      <c r="AR47" s="2470"/>
      <c r="AS47" s="2470"/>
      <c r="AT47" s="2470"/>
      <c r="AU47" s="2470"/>
      <c r="AV47" s="2470"/>
      <c r="AW47" s="2470"/>
      <c r="AX47" s="2470"/>
      <c r="AY47" s="2470"/>
      <c r="AZ47" s="2470"/>
      <c r="BA47" s="2470"/>
      <c r="BB47" s="2471"/>
      <c r="BC47" s="1177" t="s">
        <v>396</v>
      </c>
      <c r="BE47" s="437"/>
      <c r="BF47" s="437" t="str">
        <f t="shared" si="3"/>
        <v>Территория действия тарифа</v>
      </c>
      <c r="BG47" s="437"/>
      <c r="BH47" s="437"/>
      <c r="BI47" s="1074">
        <v>21</v>
      </c>
    </row>
    <row r="48" spans="1:61" ht="43.15" customHeight="1">
      <c r="A48" s="1282" t="s">
        <v>244</v>
      </c>
      <c r="B48" s="1282" t="s">
        <v>245</v>
      </c>
      <c r="C48" s="1282" t="s">
        <v>246</v>
      </c>
      <c r="D48" s="1282"/>
      <c r="E48" s="2484"/>
      <c r="F48" s="2484"/>
      <c r="G48" s="2483">
        <v>1</v>
      </c>
      <c r="H48" s="1282"/>
      <c r="I48" s="1282"/>
      <c r="J48" s="1282"/>
      <c r="K48" s="1282"/>
      <c r="L48" s="1283"/>
      <c r="M48" s="1284"/>
      <c r="N48" s="1284"/>
      <c r="O48" s="1284"/>
      <c r="P48" s="1331"/>
      <c r="Q48" s="1330"/>
      <c r="R48" s="290"/>
      <c r="S48" s="1376" t="str">
        <f>INDEX(PT_DIFFERENTIATION_NUM_CS,MATCH(C48,PT_DIFFERENTIATION_CS_ID,0))</f>
        <v>..</v>
      </c>
      <c r="T48" s="246" t="s">
        <v>479</v>
      </c>
      <c r="U48" s="237"/>
      <c r="V48" s="2470"/>
      <c r="W48" s="2470"/>
      <c r="X48" s="2470"/>
      <c r="Y48" s="2470"/>
      <c r="Z48" s="2470"/>
      <c r="AA48" s="2470"/>
      <c r="AB48" s="2470"/>
      <c r="AC48" s="2471"/>
      <c r="AD48" s="2469" t="str">
        <f>INDEX(PT_DIFFERENTIATION_CS,MATCH(C48,PT_DIFFERENTIATION_CS_ID,0))</f>
        <v/>
      </c>
      <c r="AE48" s="2470"/>
      <c r="AF48" s="2470"/>
      <c r="AG48" s="2470"/>
      <c r="AH48" s="2470"/>
      <c r="AI48" s="2470"/>
      <c r="AJ48" s="2470"/>
      <c r="AK48" s="2470"/>
      <c r="AL48" s="2470"/>
      <c r="AM48" s="2470"/>
      <c r="AN48" s="2470"/>
      <c r="AO48" s="2470"/>
      <c r="AP48" s="2470"/>
      <c r="AQ48" s="2470"/>
      <c r="AR48" s="2470"/>
      <c r="AS48" s="2470"/>
      <c r="AT48" s="2470"/>
      <c r="AU48" s="2470"/>
      <c r="AV48" s="2470"/>
      <c r="AW48" s="2470"/>
      <c r="AX48" s="2470"/>
      <c r="AY48" s="2470"/>
      <c r="AZ48" s="2470"/>
      <c r="BA48" s="2470"/>
      <c r="BB48" s="2471"/>
      <c r="BC48" s="1177" t="s">
        <v>480</v>
      </c>
      <c r="BE48" s="437"/>
      <c r="BF48" s="437" t="str">
        <f t="shared" si="3"/>
        <v>Наименование централизованной системы холодного водоснабжения</v>
      </c>
      <c r="BG48" s="437"/>
      <c r="BH48" s="437"/>
      <c r="BI48" s="1074">
        <v>41</v>
      </c>
    </row>
    <row r="49" spans="1:61" s="2245" customFormat="1" ht="0" hidden="1" customHeight="1">
      <c r="A49" s="1262" t="s">
        <v>244</v>
      </c>
      <c r="B49" s="1262" t="s">
        <v>245</v>
      </c>
      <c r="C49" s="1262" t="s">
        <v>246</v>
      </c>
      <c r="D49" s="1262" t="s">
        <v>513</v>
      </c>
      <c r="E49" s="2484"/>
      <c r="F49" s="2484"/>
      <c r="G49" s="2484"/>
      <c r="H49" s="2483">
        <v>1</v>
      </c>
      <c r="I49" s="1262"/>
      <c r="J49" s="1262"/>
      <c r="K49" s="1262"/>
      <c r="L49" s="1265"/>
      <c r="M49" s="1234"/>
      <c r="N49" s="1234"/>
      <c r="O49" s="1234"/>
      <c r="P49" s="1416"/>
      <c r="Q49" s="1417"/>
      <c r="R49" s="294"/>
      <c r="S49" s="966"/>
      <c r="T49" s="1418"/>
      <c r="U49" s="1303"/>
      <c r="V49" s="2513"/>
      <c r="W49" s="2513"/>
      <c r="X49" s="2513"/>
      <c r="Y49" s="2513"/>
      <c r="Z49" s="2513"/>
      <c r="AA49" s="2513"/>
      <c r="AB49" s="2513"/>
      <c r="AC49" s="2514"/>
      <c r="AD49" s="2512"/>
      <c r="AE49" s="2513"/>
      <c r="AF49" s="2513"/>
      <c r="AG49" s="2513"/>
      <c r="AH49" s="2513"/>
      <c r="AI49" s="2513"/>
      <c r="AJ49" s="2513"/>
      <c r="AK49" s="2513"/>
      <c r="AL49" s="2513"/>
      <c r="AM49" s="2513"/>
      <c r="AN49" s="2513"/>
      <c r="AO49" s="2513"/>
      <c r="AP49" s="2513"/>
      <c r="AQ49" s="2513"/>
      <c r="AR49" s="2513"/>
      <c r="AS49" s="2513"/>
      <c r="AT49" s="2513"/>
      <c r="AU49" s="2513"/>
      <c r="AV49" s="2513"/>
      <c r="AW49" s="2513"/>
      <c r="AX49" s="2513"/>
      <c r="AY49" s="2513"/>
      <c r="AZ49" s="2513"/>
      <c r="BA49" s="2513"/>
      <c r="BB49" s="2514"/>
      <c r="BC49" s="1304" t="s">
        <v>400</v>
      </c>
      <c r="BE49" s="437"/>
      <c r="BF49" s="437" t="str">
        <f t="shared" si="3"/>
        <v/>
      </c>
      <c r="BG49" s="437"/>
      <c r="BH49" s="437"/>
      <c r="BI49" s="448">
        <v>0</v>
      </c>
    </row>
    <row r="50" spans="1:61" s="2245" customFormat="1" ht="0" hidden="1" customHeight="1">
      <c r="A50" s="1262" t="s">
        <v>244</v>
      </c>
      <c r="B50" s="1262" t="s">
        <v>245</v>
      </c>
      <c r="C50" s="1262" t="s">
        <v>246</v>
      </c>
      <c r="D50" s="1262" t="s">
        <v>513</v>
      </c>
      <c r="E50" s="2484"/>
      <c r="F50" s="2484"/>
      <c r="G50" s="2484"/>
      <c r="H50" s="2484"/>
      <c r="I50" s="2481" t="str">
        <f>S49&amp;".1"</f>
        <v>.1</v>
      </c>
      <c r="J50" s="1262"/>
      <c r="K50" s="1262"/>
      <c r="L50" s="1265" t="s">
        <v>401</v>
      </c>
      <c r="M50" s="447"/>
      <c r="N50" s="447"/>
      <c r="O50" s="447"/>
      <c r="P50" s="2482">
        <v>1</v>
      </c>
      <c r="Q50" s="1381"/>
      <c r="R50" s="293"/>
      <c r="S50" s="966"/>
      <c r="T50" s="1302"/>
      <c r="U50" s="1303"/>
      <c r="V50" s="2513"/>
      <c r="W50" s="2513"/>
      <c r="X50" s="2513"/>
      <c r="Y50" s="2513"/>
      <c r="Z50" s="2513"/>
      <c r="AA50" s="2513"/>
      <c r="AB50" s="2513"/>
      <c r="AC50" s="2514"/>
      <c r="AD50" s="2512"/>
      <c r="AE50" s="2513"/>
      <c r="AF50" s="2513"/>
      <c r="AG50" s="2513"/>
      <c r="AH50" s="2513"/>
      <c r="AI50" s="2513"/>
      <c r="AJ50" s="2513"/>
      <c r="AK50" s="2513"/>
      <c r="AL50" s="2513"/>
      <c r="AM50" s="2513"/>
      <c r="AN50" s="2513"/>
      <c r="AO50" s="2513"/>
      <c r="AP50" s="2513"/>
      <c r="AQ50" s="2513"/>
      <c r="AR50" s="2513"/>
      <c r="AS50" s="2513"/>
      <c r="AT50" s="2513"/>
      <c r="AU50" s="2513"/>
      <c r="AV50" s="2513"/>
      <c r="AW50" s="2513"/>
      <c r="AX50" s="2513"/>
      <c r="AY50" s="2513"/>
      <c r="AZ50" s="2513"/>
      <c r="BA50" s="2513"/>
      <c r="BB50" s="2514"/>
      <c r="BC50" s="1304"/>
      <c r="BE50" s="437"/>
      <c r="BF50" s="437" t="str">
        <f t="shared" si="3"/>
        <v/>
      </c>
      <c r="BG50" s="437"/>
      <c r="BH50" s="437"/>
      <c r="BI50" s="448">
        <v>0</v>
      </c>
    </row>
    <row r="51" spans="1:61" s="2245" customFormat="1" ht="0" hidden="1" customHeight="1">
      <c r="A51" s="1262" t="s">
        <v>244</v>
      </c>
      <c r="B51" s="1262" t="s">
        <v>245</v>
      </c>
      <c r="C51" s="1262" t="s">
        <v>246</v>
      </c>
      <c r="D51" s="1262" t="s">
        <v>513</v>
      </c>
      <c r="E51" s="2484"/>
      <c r="F51" s="2484"/>
      <c r="G51" s="2484"/>
      <c r="H51" s="2484"/>
      <c r="I51" s="2504"/>
      <c r="J51" s="2481" t="str">
        <f>S49&amp;".1"</f>
        <v>.1</v>
      </c>
      <c r="K51" s="1262"/>
      <c r="L51" s="1265"/>
      <c r="M51" s="447"/>
      <c r="N51" s="447"/>
      <c r="O51" s="447"/>
      <c r="P51" s="2482"/>
      <c r="Q51" s="2482">
        <v>1</v>
      </c>
      <c r="R51" s="294"/>
      <c r="S51" s="966"/>
      <c r="T51" s="1318"/>
      <c r="U51" s="1303"/>
      <c r="V51" s="2513"/>
      <c r="W51" s="2513"/>
      <c r="X51" s="2513"/>
      <c r="Y51" s="2513"/>
      <c r="Z51" s="2513"/>
      <c r="AA51" s="2513"/>
      <c r="AB51" s="2513"/>
      <c r="AC51" s="2514"/>
      <c r="AD51" s="2512"/>
      <c r="AE51" s="2513"/>
      <c r="AF51" s="2513"/>
      <c r="AG51" s="2513"/>
      <c r="AH51" s="2513"/>
      <c r="AI51" s="2513"/>
      <c r="AJ51" s="2513"/>
      <c r="AK51" s="2513"/>
      <c r="AL51" s="2513"/>
      <c r="AM51" s="2513"/>
      <c r="AN51" s="2564"/>
      <c r="AO51" s="2564"/>
      <c r="AP51" s="2513"/>
      <c r="AQ51" s="2513"/>
      <c r="AR51" s="2513"/>
      <c r="AS51" s="2513"/>
      <c r="AT51" s="2513"/>
      <c r="AU51" s="2513"/>
      <c r="AV51" s="2513"/>
      <c r="AW51" s="2513"/>
      <c r="AX51" s="2513"/>
      <c r="AY51" s="2513"/>
      <c r="AZ51" s="2513"/>
      <c r="BA51" s="2513"/>
      <c r="BB51" s="2514"/>
      <c r="BC51" s="1304"/>
      <c r="BE51" s="437"/>
      <c r="BF51" s="437" t="str">
        <f t="shared" si="3"/>
        <v/>
      </c>
      <c r="BG51" s="437"/>
      <c r="BH51" s="437"/>
      <c r="BI51" s="448">
        <v>0</v>
      </c>
    </row>
    <row r="52" spans="1:61" ht="11.45" customHeight="1">
      <c r="A52" s="1282" t="s">
        <v>244</v>
      </c>
      <c r="B52" s="1282" t="s">
        <v>245</v>
      </c>
      <c r="C52" s="1282" t="s">
        <v>246</v>
      </c>
      <c r="D52" s="1282" t="s">
        <v>513</v>
      </c>
      <c r="E52" s="2484"/>
      <c r="F52" s="2484"/>
      <c r="G52" s="2484"/>
      <c r="H52" s="2484"/>
      <c r="I52" s="2504"/>
      <c r="J52" s="2504"/>
      <c r="K52" s="2481" t="str">
        <f>S48&amp;".1"</f>
        <v>...1</v>
      </c>
      <c r="L52" s="1283"/>
      <c r="P52" s="2482"/>
      <c r="Q52" s="2482"/>
      <c r="R52" s="294">
        <v>1</v>
      </c>
      <c r="S52" s="2541" t="str">
        <f>$K52</f>
        <v>...1</v>
      </c>
      <c r="T52" s="2560"/>
      <c r="U52" s="237"/>
      <c r="V52" s="688"/>
      <c r="W52" s="1176"/>
      <c r="X52" s="688"/>
      <c r="Y52" s="1176"/>
      <c r="Z52" s="1652"/>
      <c r="AA52" s="1378" t="s">
        <v>64</v>
      </c>
      <c r="AB52" s="1652"/>
      <c r="AC52" s="1378" t="s">
        <v>64</v>
      </c>
      <c r="AD52" s="2421" t="s">
        <v>64</v>
      </c>
      <c r="AE52" s="2526"/>
      <c r="AF52" s="2438">
        <v>1</v>
      </c>
      <c r="AG52" s="2563"/>
      <c r="AH52" s="2344" t="s">
        <v>64</v>
      </c>
      <c r="AI52" s="2526"/>
      <c r="AJ52" s="2438">
        <v>1</v>
      </c>
      <c r="AK52" s="2527" t="s">
        <v>22</v>
      </c>
      <c r="AL52" s="2344" t="s">
        <v>64</v>
      </c>
      <c r="AM52" s="2428"/>
      <c r="AN52" s="2438">
        <v>1</v>
      </c>
      <c r="AO52" s="2557"/>
      <c r="AP52" s="2558" t="s">
        <v>64</v>
      </c>
      <c r="AQ52" s="248"/>
      <c r="AR52" s="1382">
        <v>1</v>
      </c>
      <c r="AS52" s="1385" t="s">
        <v>22</v>
      </c>
      <c r="AT52" s="688"/>
      <c r="AU52" s="1176"/>
      <c r="AV52" s="688"/>
      <c r="AW52" s="1176"/>
      <c r="AX52" s="1652"/>
      <c r="AY52" s="1378" t="s">
        <v>64</v>
      </c>
      <c r="AZ52" s="1652"/>
      <c r="BA52" s="1378" t="s">
        <v>64</v>
      </c>
      <c r="BB52" s="1267"/>
      <c r="BC52" s="2478" t="s">
        <v>499</v>
      </c>
      <c r="BE52" s="437"/>
      <c r="BF52" s="437" t="str">
        <f t="shared" si="3"/>
        <v/>
      </c>
      <c r="BG52" s="437"/>
      <c r="BH52" s="437"/>
      <c r="BI52" s="1074">
        <v>11</v>
      </c>
    </row>
    <row r="53" spans="1:61" ht="11.45" customHeight="1">
      <c r="A53" s="1282"/>
      <c r="B53" s="1282"/>
      <c r="C53" s="1282"/>
      <c r="D53" s="1282"/>
      <c r="E53" s="2484"/>
      <c r="F53" s="2484"/>
      <c r="G53" s="2484"/>
      <c r="H53" s="2484"/>
      <c r="I53" s="2504"/>
      <c r="J53" s="2504"/>
      <c r="K53" s="2481"/>
      <c r="L53" s="1283"/>
      <c r="P53" s="2482"/>
      <c r="Q53" s="2482"/>
      <c r="R53" s="294"/>
      <c r="S53" s="2542"/>
      <c r="T53" s="2561"/>
      <c r="U53" s="237"/>
      <c r="V53" s="1312"/>
      <c r="W53" s="1415"/>
      <c r="X53" s="1312"/>
      <c r="Y53" s="1415"/>
      <c r="Z53" s="1312"/>
      <c r="AA53" s="1312"/>
      <c r="AB53" s="1312"/>
      <c r="AC53" s="1312"/>
      <c r="AD53" s="2422"/>
      <c r="AE53" s="2526"/>
      <c r="AF53" s="2438"/>
      <c r="AG53" s="2563"/>
      <c r="AH53" s="2344"/>
      <c r="AI53" s="2526"/>
      <c r="AJ53" s="2438"/>
      <c r="AK53" s="2527"/>
      <c r="AL53" s="2344"/>
      <c r="AM53" s="2433"/>
      <c r="AN53" s="2438"/>
      <c r="AO53" s="2557"/>
      <c r="AP53" s="2559"/>
      <c r="AQ53" s="253"/>
      <c r="AR53" s="353"/>
      <c r="AS53" s="353" t="s">
        <v>500</v>
      </c>
      <c r="AT53" s="1312"/>
      <c r="AU53" s="1415"/>
      <c r="AV53" s="1312"/>
      <c r="AW53" s="1415"/>
      <c r="AX53" s="1312"/>
      <c r="AY53" s="1312"/>
      <c r="AZ53" s="1312"/>
      <c r="BA53" s="1312"/>
      <c r="BB53" s="1316"/>
      <c r="BC53" s="2479"/>
      <c r="BE53" s="437"/>
      <c r="BF53" s="437"/>
      <c r="BG53" s="437"/>
      <c r="BH53" s="437"/>
      <c r="BI53" s="1074">
        <v>11</v>
      </c>
    </row>
    <row r="54" spans="1:61" ht="11.45" customHeight="1">
      <c r="A54" s="1282" t="s">
        <v>244</v>
      </c>
      <c r="B54" s="1282"/>
      <c r="C54" s="1282"/>
      <c r="D54" s="1282"/>
      <c r="E54" s="2484"/>
      <c r="F54" s="2484"/>
      <c r="G54" s="2484"/>
      <c r="H54" s="2484"/>
      <c r="I54" s="2504"/>
      <c r="J54" s="2504"/>
      <c r="K54" s="2481"/>
      <c r="L54" s="1283"/>
      <c r="P54" s="2482"/>
      <c r="Q54" s="2482"/>
      <c r="R54" s="294"/>
      <c r="S54" s="2542"/>
      <c r="T54" s="2561"/>
      <c r="U54" s="237"/>
      <c r="V54" s="1312"/>
      <c r="W54" s="1415"/>
      <c r="X54" s="1312"/>
      <c r="Y54" s="1415"/>
      <c r="Z54" s="1312"/>
      <c r="AA54" s="1312"/>
      <c r="AB54" s="1312"/>
      <c r="AC54" s="1312"/>
      <c r="AD54" s="2422"/>
      <c r="AE54" s="2526"/>
      <c r="AF54" s="2438"/>
      <c r="AG54" s="2563"/>
      <c r="AH54" s="2344"/>
      <c r="AI54" s="2526"/>
      <c r="AJ54" s="2438"/>
      <c r="AK54" s="2527"/>
      <c r="AL54" s="2344"/>
      <c r="AM54" s="253"/>
      <c r="AN54" s="1419"/>
      <c r="AO54" s="1419" t="s">
        <v>501</v>
      </c>
      <c r="AP54" s="353"/>
      <c r="AQ54" s="353"/>
      <c r="AR54" s="353"/>
      <c r="AS54" s="1312"/>
      <c r="AT54" s="1312"/>
      <c r="AU54" s="1415"/>
      <c r="AV54" s="1312"/>
      <c r="AW54" s="1415"/>
      <c r="AX54" s="1312"/>
      <c r="AY54" s="1312"/>
      <c r="AZ54" s="1312"/>
      <c r="BA54" s="1312"/>
      <c r="BB54" s="1316"/>
      <c r="BC54" s="2479"/>
      <c r="BE54" s="437"/>
      <c r="BF54" s="437"/>
      <c r="BG54" s="437"/>
      <c r="BH54" s="437"/>
      <c r="BI54" s="1074">
        <v>11</v>
      </c>
    </row>
    <row r="55" spans="1:61" ht="11.45" customHeight="1">
      <c r="A55" s="1282" t="s">
        <v>244</v>
      </c>
      <c r="B55" s="1282"/>
      <c r="C55" s="1282"/>
      <c r="D55" s="1282"/>
      <c r="E55" s="2484"/>
      <c r="F55" s="2484"/>
      <c r="G55" s="2484"/>
      <c r="H55" s="2484"/>
      <c r="I55" s="2504"/>
      <c r="J55" s="2504"/>
      <c r="K55" s="2481"/>
      <c r="L55" s="1283"/>
      <c r="P55" s="2482"/>
      <c r="Q55" s="2482"/>
      <c r="R55" s="294"/>
      <c r="S55" s="2542"/>
      <c r="T55" s="2561"/>
      <c r="U55" s="237"/>
      <c r="V55" s="1312"/>
      <c r="W55" s="1415"/>
      <c r="X55" s="1312"/>
      <c r="Y55" s="1415"/>
      <c r="Z55" s="1312"/>
      <c r="AA55" s="1312"/>
      <c r="AB55" s="1312"/>
      <c r="AC55" s="1312"/>
      <c r="AD55" s="2422"/>
      <c r="AE55" s="2526"/>
      <c r="AF55" s="2438"/>
      <c r="AG55" s="2563"/>
      <c r="AH55" s="2344"/>
      <c r="AI55" s="231"/>
      <c r="AJ55" s="352"/>
      <c r="AK55" s="250" t="s">
        <v>502</v>
      </c>
      <c r="AL55" s="1312"/>
      <c r="AM55" s="1312"/>
      <c r="AN55" s="1312"/>
      <c r="AO55" s="1312"/>
      <c r="AP55" s="1312"/>
      <c r="AQ55" s="1312"/>
      <c r="AR55" s="1312"/>
      <c r="AS55" s="1312"/>
      <c r="AT55" s="1312"/>
      <c r="AU55" s="1415"/>
      <c r="AV55" s="1312"/>
      <c r="AW55" s="1415"/>
      <c r="AX55" s="1312"/>
      <c r="AY55" s="1312"/>
      <c r="AZ55" s="1312"/>
      <c r="BA55" s="1312"/>
      <c r="BB55" s="1316"/>
      <c r="BC55" s="2479"/>
      <c r="BE55" s="437"/>
      <c r="BF55" s="437"/>
      <c r="BG55" s="437"/>
      <c r="BH55" s="437"/>
      <c r="BI55" s="1074">
        <v>11</v>
      </c>
    </row>
    <row r="56" spans="1:61" ht="11.45" customHeight="1">
      <c r="A56" s="1282" t="s">
        <v>244</v>
      </c>
      <c r="B56" s="1282" t="s">
        <v>245</v>
      </c>
      <c r="C56" s="1282" t="s">
        <v>246</v>
      </c>
      <c r="D56" s="1282" t="s">
        <v>513</v>
      </c>
      <c r="E56" s="2484"/>
      <c r="F56" s="2484"/>
      <c r="G56" s="2484"/>
      <c r="H56" s="2484"/>
      <c r="I56" s="2504"/>
      <c r="J56" s="2504"/>
      <c r="K56" s="2481"/>
      <c r="L56" s="1283"/>
      <c r="P56" s="2482"/>
      <c r="Q56" s="2482"/>
      <c r="R56" s="294"/>
      <c r="S56" s="2543"/>
      <c r="T56" s="2562"/>
      <c r="U56" s="237"/>
      <c r="V56" s="1312"/>
      <c r="W56" s="1313" t="str">
        <f>Z52&amp;"-"&amp;AB52</f>
        <v>-</v>
      </c>
      <c r="X56" s="1312"/>
      <c r="Y56" s="1313" t="str">
        <f>AB52&amp;"-"&amp;AD52</f>
        <v>-да</v>
      </c>
      <c r="Z56" s="1312"/>
      <c r="AA56" s="1312"/>
      <c r="AB56" s="1312"/>
      <c r="AC56" s="1312"/>
      <c r="AD56" s="2349"/>
      <c r="AE56" s="249"/>
      <c r="AF56" s="251"/>
      <c r="AG56" s="353" t="s">
        <v>503</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479"/>
      <c r="BE56" s="437"/>
      <c r="BF56" s="437" t="str">
        <f t="shared" ref="BF56:BF63" si="4">IF(T56="","",T56)</f>
        <v/>
      </c>
      <c r="BG56" s="437"/>
      <c r="BH56" s="437"/>
      <c r="BI56" s="1074">
        <v>11</v>
      </c>
    </row>
    <row r="57" spans="1:61" ht="11.45" customHeight="1">
      <c r="A57" s="1282" t="s">
        <v>244</v>
      </c>
      <c r="B57" s="1282" t="s">
        <v>245</v>
      </c>
      <c r="C57" s="1282" t="s">
        <v>246</v>
      </c>
      <c r="D57" s="1282" t="s">
        <v>513</v>
      </c>
      <c r="E57" s="2484"/>
      <c r="F57" s="2484"/>
      <c r="G57" s="2484"/>
      <c r="H57" s="2484"/>
      <c r="I57" s="2504"/>
      <c r="J57" s="2481"/>
      <c r="K57" s="1282"/>
      <c r="L57" s="1283"/>
      <c r="P57" s="2482"/>
      <c r="Q57" s="2482"/>
      <c r="R57" s="293"/>
      <c r="S57" s="1197"/>
      <c r="T57" s="224" t="s">
        <v>466</v>
      </c>
      <c r="U57" s="304"/>
      <c r="V57" s="304"/>
      <c r="W57" s="304"/>
      <c r="X57" s="304"/>
      <c r="Y57" s="304"/>
      <c r="Z57" s="304"/>
      <c r="AA57" s="304"/>
      <c r="AB57" s="304"/>
      <c r="AC57" s="261"/>
      <c r="AD57" s="1424"/>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480"/>
      <c r="BE57" s="437"/>
      <c r="BF57" s="437" t="str">
        <f t="shared" si="4"/>
        <v>Добавить строку</v>
      </c>
      <c r="BG57" s="437"/>
      <c r="BH57" s="437"/>
      <c r="BI57" s="1074">
        <v>11</v>
      </c>
    </row>
    <row r="58" spans="1:61" s="2245" customFormat="1" ht="0" hidden="1" customHeight="1">
      <c r="A58" s="1262" t="s">
        <v>244</v>
      </c>
      <c r="B58" s="1262" t="s">
        <v>245</v>
      </c>
      <c r="C58" s="1262" t="s">
        <v>246</v>
      </c>
      <c r="D58" s="1262" t="s">
        <v>513</v>
      </c>
      <c r="E58" s="2484"/>
      <c r="F58" s="2484"/>
      <c r="G58" s="2484"/>
      <c r="H58" s="2484"/>
      <c r="I58" s="2481"/>
      <c r="J58" s="1262"/>
      <c r="K58" s="1262"/>
      <c r="L58" s="1265"/>
      <c r="M58" s="447"/>
      <c r="N58" s="447"/>
      <c r="O58" s="447"/>
      <c r="P58" s="2482"/>
      <c r="Q58" s="1381"/>
      <c r="R58" s="293"/>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7"/>
      <c r="BF58" s="437" t="str">
        <f t="shared" si="4"/>
        <v/>
      </c>
      <c r="BG58" s="437"/>
      <c r="BH58" s="437"/>
      <c r="BI58" s="448">
        <v>0</v>
      </c>
    </row>
    <row r="59" spans="1:61" s="2245" customFormat="1" ht="0" hidden="1" customHeight="1">
      <c r="A59" s="1262" t="s">
        <v>244</v>
      </c>
      <c r="B59" s="1262" t="s">
        <v>245</v>
      </c>
      <c r="C59" s="1262" t="s">
        <v>246</v>
      </c>
      <c r="D59" s="1262" t="s">
        <v>513</v>
      </c>
      <c r="E59" s="2484"/>
      <c r="F59" s="2484"/>
      <c r="G59" s="2484"/>
      <c r="H59" s="2483"/>
      <c r="I59" s="1262"/>
      <c r="J59" s="1262"/>
      <c r="K59" s="1262"/>
      <c r="L59" s="1265"/>
      <c r="M59" s="1234"/>
      <c r="N59" s="1234"/>
      <c r="O59" s="455"/>
      <c r="P59" s="317"/>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7"/>
      <c r="BF59" s="437" t="str">
        <f t="shared" si="4"/>
        <v/>
      </c>
      <c r="BG59" s="437"/>
      <c r="BH59" s="437"/>
      <c r="BI59" s="448">
        <v>0</v>
      </c>
    </row>
    <row r="60" spans="1:61" s="2245" customFormat="1" ht="0" hidden="1" customHeight="1">
      <c r="A60" s="1262" t="s">
        <v>244</v>
      </c>
      <c r="B60" s="1262" t="s">
        <v>245</v>
      </c>
      <c r="C60" s="1262" t="s">
        <v>246</v>
      </c>
      <c r="D60" s="1233"/>
      <c r="E60" s="2484"/>
      <c r="F60" s="2484"/>
      <c r="G60" s="2483"/>
      <c r="H60" s="1233"/>
      <c r="I60" s="1233"/>
      <c r="J60" s="1233"/>
      <c r="K60" s="1233"/>
      <c r="L60" s="138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20"/>
      <c r="BF60" s="720" t="str">
        <f t="shared" si="4"/>
        <v/>
      </c>
      <c r="BG60" s="720"/>
      <c r="BH60" s="720"/>
      <c r="BI60" s="455">
        <v>0</v>
      </c>
    </row>
    <row r="61" spans="1:61" s="2245" customFormat="1" ht="0" hidden="1" customHeight="1">
      <c r="A61" s="1262" t="s">
        <v>244</v>
      </c>
      <c r="B61" s="1262" t="s">
        <v>245</v>
      </c>
      <c r="C61" s="1233"/>
      <c r="D61" s="1233"/>
      <c r="E61" s="2484"/>
      <c r="F61" s="2483"/>
      <c r="G61" s="1233"/>
      <c r="H61" s="1233"/>
      <c r="I61" s="1233"/>
      <c r="J61" s="1233"/>
      <c r="K61" s="1233"/>
      <c r="L61" s="1383"/>
      <c r="M61" s="1240"/>
      <c r="N61" s="1240"/>
      <c r="P61" s="1235"/>
      <c r="Q61" s="1236"/>
      <c r="R61" s="1235"/>
      <c r="S61" s="1241"/>
      <c r="T61" s="1244" t="s">
        <v>413</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20"/>
      <c r="BF61" s="720" t="str">
        <f t="shared" si="4"/>
        <v>Добавить централизованную систему для дифференциации</v>
      </c>
      <c r="BG61" s="720"/>
      <c r="BH61" s="720"/>
      <c r="BI61" s="455">
        <v>0</v>
      </c>
    </row>
    <row r="62" spans="1:61" s="2245" customFormat="1" ht="0" hidden="1" customHeight="1">
      <c r="A62" s="1262" t="s">
        <v>244</v>
      </c>
      <c r="B62" s="1262"/>
      <c r="C62" s="1262"/>
      <c r="D62" s="1262"/>
      <c r="E62" s="2483"/>
      <c r="F62" s="1262"/>
      <c r="G62" s="1262"/>
      <c r="H62" s="1262"/>
      <c r="I62" s="1262"/>
      <c r="J62" s="1262"/>
      <c r="K62" s="1262"/>
      <c r="L62" s="1265"/>
      <c r="M62" s="1240"/>
      <c r="N62" s="1240"/>
      <c r="O62" s="455"/>
      <c r="P62" s="317"/>
      <c r="Q62" s="1263"/>
      <c r="R62" s="317"/>
      <c r="S62" s="1241"/>
      <c r="T62" s="1244" t="s">
        <v>414</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7"/>
      <c r="BF62" s="437" t="str">
        <f t="shared" si="4"/>
        <v>Добавить территорию для дифференциации</v>
      </c>
      <c r="BG62" s="437"/>
      <c r="BH62" s="437"/>
      <c r="BI62" s="448">
        <v>0</v>
      </c>
    </row>
    <row r="63" spans="1:61" s="2245" customFormat="1" ht="0" hidden="1" customHeight="1">
      <c r="A63" s="1233"/>
      <c r="B63" s="1233"/>
      <c r="C63" s="1233"/>
      <c r="D63" s="1233"/>
      <c r="E63" s="1262"/>
      <c r="F63" s="1233"/>
      <c r="G63" s="1233"/>
      <c r="H63" s="1233"/>
      <c r="I63" s="1233"/>
      <c r="J63" s="1233"/>
      <c r="K63" s="1233"/>
      <c r="L63" s="1383"/>
      <c r="M63" s="1240"/>
      <c r="N63" s="1240"/>
      <c r="P63" s="1235"/>
      <c r="Q63" s="1236"/>
      <c r="R63" s="1235"/>
      <c r="S63" s="1241"/>
      <c r="T63" s="1244" t="s">
        <v>446</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20"/>
      <c r="BF63" s="720" t="str">
        <f t="shared" si="4"/>
        <v>Добавить наименование тарифа</v>
      </c>
      <c r="BG63" s="720"/>
      <c r="BH63" s="720"/>
      <c r="BI63" s="455">
        <v>0</v>
      </c>
    </row>
    <row r="64" spans="1:61" ht="11.45" customHeight="1">
      <c r="M64" s="1079"/>
      <c r="N64" s="1079"/>
      <c r="O64" s="474"/>
      <c r="P64" s="1079"/>
      <c r="Q64" s="1079"/>
      <c r="R64" s="1074"/>
      <c r="S64" s="1074"/>
      <c r="BD64" s="1074"/>
      <c r="BE64" s="1074"/>
      <c r="BF64" s="1074"/>
      <c r="BG64" s="1074"/>
      <c r="BH64" s="1074"/>
      <c r="BI64" s="1074">
        <v>11</v>
      </c>
    </row>
    <row r="65" spans="1:61" ht="19.899999999999999" customHeight="1">
      <c r="O65" s="474"/>
      <c r="S65" s="1172"/>
      <c r="T65" s="2503"/>
      <c r="U65" s="2503"/>
      <c r="V65" s="2503"/>
      <c r="W65" s="2503"/>
      <c r="X65" s="2503"/>
      <c r="Y65" s="2503"/>
      <c r="Z65" s="2503"/>
      <c r="AA65" s="2503"/>
      <c r="AB65" s="2503"/>
      <c r="AC65" s="2503"/>
      <c r="AD65" s="2503"/>
      <c r="AE65" s="2503"/>
      <c r="AF65" s="2503"/>
      <c r="AG65" s="2503"/>
      <c r="AH65" s="2503"/>
      <c r="AI65" s="2503"/>
      <c r="AJ65" s="2503"/>
      <c r="AK65" s="2503"/>
      <c r="AL65" s="2503"/>
      <c r="AM65" s="2503"/>
      <c r="AN65" s="2503"/>
      <c r="AO65" s="2503"/>
      <c r="AP65" s="2503"/>
      <c r="AQ65" s="2503"/>
      <c r="AR65" s="2503"/>
      <c r="AS65" s="2503"/>
      <c r="AT65" s="2503"/>
      <c r="AU65" s="2503"/>
      <c r="AV65" s="2503"/>
      <c r="AW65" s="2503"/>
      <c r="AX65" s="2503"/>
      <c r="AY65" s="2503"/>
      <c r="AZ65" s="2503"/>
      <c r="BA65" s="2503"/>
      <c r="BB65" s="2503"/>
      <c r="BC65" s="2503"/>
      <c r="BI65" s="1074">
        <v>19</v>
      </c>
    </row>
    <row r="66" spans="1:61" ht="14.65" customHeight="1">
      <c r="O66" s="474"/>
      <c r="T66" s="1368"/>
      <c r="U66" s="1368"/>
      <c r="V66" s="1368"/>
      <c r="W66" s="1368"/>
      <c r="X66" s="1368"/>
      <c r="Y66" s="1368"/>
      <c r="Z66" s="1368"/>
      <c r="AA66" s="1368"/>
      <c r="AB66" s="1368"/>
      <c r="AC66" s="1368"/>
      <c r="AD66" s="1368"/>
      <c r="AE66" s="1368"/>
      <c r="AF66" s="1368"/>
      <c r="AG66" s="1368"/>
      <c r="AH66" s="1368"/>
      <c r="AI66" s="1368"/>
      <c r="AJ66" s="1368"/>
      <c r="AK66" s="1368"/>
      <c r="AL66" s="1368"/>
      <c r="AM66" s="1368"/>
      <c r="AN66" s="1368"/>
      <c r="AO66" s="1368"/>
      <c r="AP66" s="1368"/>
      <c r="AQ66" s="1368"/>
      <c r="AR66" s="1368"/>
      <c r="AS66" s="1368"/>
      <c r="AT66" s="1368"/>
      <c r="AU66" s="1368"/>
      <c r="AV66" s="1368"/>
      <c r="AW66" s="1368"/>
      <c r="AX66" s="1368"/>
      <c r="AY66" s="1368"/>
      <c r="AZ66" s="1368"/>
      <c r="BA66" s="1368"/>
      <c r="BB66" s="1368"/>
      <c r="BC66" s="1368"/>
      <c r="BI66" s="1074">
        <v>14</v>
      </c>
    </row>
    <row r="67" spans="1:61" ht="19.899999999999999" customHeight="1">
      <c r="O67" s="474"/>
      <c r="S67" s="1172"/>
      <c r="T67" s="2503"/>
      <c r="U67" s="2503"/>
      <c r="V67" s="2503"/>
      <c r="W67" s="2503"/>
      <c r="X67" s="2503"/>
      <c r="Y67" s="2503"/>
      <c r="Z67" s="2503"/>
      <c r="AA67" s="2503"/>
      <c r="AB67" s="2503"/>
      <c r="AC67" s="2503"/>
      <c r="AD67" s="2503"/>
      <c r="AE67" s="2503"/>
      <c r="AF67" s="2503"/>
      <c r="AG67" s="2503"/>
      <c r="AH67" s="2503"/>
      <c r="AI67" s="2503"/>
      <c r="AJ67" s="2503"/>
      <c r="AK67" s="2503"/>
      <c r="AL67" s="2503"/>
      <c r="AM67" s="2503"/>
      <c r="AN67" s="2503"/>
      <c r="AO67" s="2503"/>
      <c r="AP67" s="2503"/>
      <c r="AQ67" s="2503"/>
      <c r="AR67" s="2503"/>
      <c r="AS67" s="2503"/>
      <c r="AT67" s="2503"/>
      <c r="AU67" s="2503"/>
      <c r="AV67" s="2503"/>
      <c r="AW67" s="2503"/>
      <c r="AX67" s="2503"/>
      <c r="AY67" s="2503"/>
      <c r="AZ67" s="2503"/>
      <c r="BA67" s="2503"/>
      <c r="BB67" s="2503"/>
      <c r="BC67" s="2503"/>
      <c r="BI67" s="1074">
        <v>19</v>
      </c>
    </row>
    <row r="68" spans="1:61" ht="14.65" customHeight="1">
      <c r="O68" s="474"/>
      <c r="BI68" s="1074">
        <v>14</v>
      </c>
    </row>
    <row r="69" spans="1:61" ht="14.25" hidden="1" customHeight="1">
      <c r="A69" s="1079" t="s">
        <v>81</v>
      </c>
      <c r="B69" s="1079">
        <v>0</v>
      </c>
      <c r="C69" s="1079">
        <v>0</v>
      </c>
      <c r="D69" s="1079">
        <v>0</v>
      </c>
      <c r="E69" s="1079">
        <v>0</v>
      </c>
      <c r="F69" s="1079">
        <v>0</v>
      </c>
      <c r="G69" s="1079">
        <v>0</v>
      </c>
      <c r="H69" s="1079">
        <v>0</v>
      </c>
      <c r="I69" s="1079">
        <v>0</v>
      </c>
      <c r="J69" s="1079">
        <v>0</v>
      </c>
      <c r="K69" s="1079">
        <v>0</v>
      </c>
      <c r="L69" s="1380">
        <v>0</v>
      </c>
      <c r="M69" s="1281">
        <v>0</v>
      </c>
      <c r="N69" s="1281">
        <v>0</v>
      </c>
      <c r="O69" s="1281">
        <v>0</v>
      </c>
      <c r="P69" s="1281">
        <v>0</v>
      </c>
      <c r="Q69" s="1290">
        <v>0</v>
      </c>
      <c r="R69" s="281">
        <v>3</v>
      </c>
      <c r="S69" s="518">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8">
        <v>10</v>
      </c>
      <c r="BE69" s="448">
        <v>10</v>
      </c>
      <c r="BF69" s="448">
        <v>10</v>
      </c>
      <c r="BG69" s="448">
        <v>10</v>
      </c>
      <c r="BH69" s="448">
        <v>10</v>
      </c>
      <c r="BI69" s="1074">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44" hidden="1"/>
    <col min="2" max="2" width="11" style="2244" hidden="1" customWidth="1"/>
    <col min="3" max="3" width="10.5703125" style="2244" hidden="1"/>
    <col min="4" max="4" width="11.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4.140625" style="2244" hidden="1" customWidth="1"/>
    <col min="10" max="10" width="9.85546875" style="2244" hidden="1" customWidth="1"/>
    <col min="11" max="11" width="14.7109375" style="2244" hidden="1" customWidth="1"/>
    <col min="12" max="12" width="19.140625" style="2270" hidden="1" customWidth="1"/>
    <col min="13" max="14" width="12.28515625" style="2271" hidden="1" customWidth="1"/>
    <col min="15" max="15" width="23.42578125" style="2271" hidden="1" customWidth="1"/>
    <col min="16" max="16" width="3" style="2272" customWidth="1"/>
    <col min="17" max="18" width="3" style="2273" customWidth="1"/>
    <col min="19" max="19" width="12" style="2274" customWidth="1"/>
    <col min="20" max="20" width="35" style="2238" customWidth="1"/>
    <col min="21" max="21" width="0.140625" style="2238" customWidth="1"/>
    <col min="22" max="24" width="24.7109375" style="2238" hidden="1" customWidth="1"/>
    <col min="25" max="25" width="11.7109375" style="2238" hidden="1" customWidth="1"/>
    <col min="26" max="26" width="3.7109375" style="2238" hidden="1" customWidth="1"/>
    <col min="27" max="27" width="11.7109375" style="2238" hidden="1" customWidth="1"/>
    <col min="28" max="28" width="8.5703125" style="2238" hidden="1" customWidth="1"/>
    <col min="29" max="29" width="24.7109375" style="2238" customWidth="1"/>
    <col min="30" max="31" width="24" style="2238" customWidth="1"/>
    <col min="32" max="32" width="11" style="2238" customWidth="1"/>
    <col min="33" max="33" width="3.7109375" style="2238" customWidth="1"/>
    <col min="34" max="34" width="11" style="2238" customWidth="1"/>
    <col min="35" max="35" width="8.5703125" style="2238" hidden="1" customWidth="1"/>
    <col min="36" max="36" width="4" style="2238" customWidth="1"/>
    <col min="37" max="37" width="115" style="2238" customWidth="1"/>
    <col min="38" max="42" width="10" style="2245" customWidth="1"/>
    <col min="43" max="43" width="10.5703125" style="2238" hidden="1"/>
  </cols>
  <sheetData>
    <row r="1" spans="1:43" ht="22.5" hidden="1" customHeight="1">
      <c r="X1" s="264"/>
      <c r="Y1" s="264"/>
      <c r="AE1" s="264"/>
      <c r="AF1" s="264"/>
      <c r="AQ1" s="1074" t="s">
        <v>14</v>
      </c>
    </row>
    <row r="2" spans="1:43" ht="23.25" hidden="1" customHeight="1">
      <c r="A2" s="1282"/>
      <c r="B2" s="1282"/>
      <c r="C2" s="1282"/>
      <c r="D2" s="1282"/>
      <c r="E2" s="2483">
        <v>1</v>
      </c>
      <c r="F2" s="1282"/>
      <c r="G2" s="1282"/>
      <c r="H2" s="1282"/>
      <c r="I2" s="1282"/>
      <c r="J2" s="1282"/>
      <c r="K2" s="1282"/>
      <c r="L2" s="1283"/>
      <c r="M2" s="1284"/>
      <c r="N2" s="1284"/>
      <c r="O2" s="1284"/>
      <c r="P2" s="298"/>
      <c r="Q2" s="297"/>
      <c r="R2" s="292"/>
      <c r="S2" s="1412" t="e">
        <f>INDEX(PT_DIFFERENTIATION_NUM_NTAR,MATCH(A2,PT_DIFFERENTIATION_NTAR_ID,0))</f>
        <v>#N/A</v>
      </c>
      <c r="T2" s="235" t="s">
        <v>123</v>
      </c>
      <c r="U2" s="237"/>
      <c r="V2" s="2469"/>
      <c r="W2" s="2470"/>
      <c r="X2" s="2470"/>
      <c r="Y2" s="2470"/>
      <c r="Z2" s="2470"/>
      <c r="AA2" s="2470"/>
      <c r="AB2" s="2471"/>
      <c r="AC2" s="2469" t="e">
        <f>INDEX(PT_DIFFERENTIATION_NTAR,MATCH(A2,PT_DIFFERENTIATION_NTAR_ID,0))</f>
        <v>#N/A</v>
      </c>
      <c r="AD2" s="2470"/>
      <c r="AE2" s="2470"/>
      <c r="AF2" s="2470"/>
      <c r="AG2" s="2470"/>
      <c r="AH2" s="2470"/>
      <c r="AI2" s="2470"/>
      <c r="AJ2" s="2471"/>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4">
        <v>0</v>
      </c>
    </row>
    <row r="3" spans="1:43" ht="23.25" hidden="1" customHeight="1">
      <c r="A3" s="1282"/>
      <c r="B3" s="1282"/>
      <c r="C3" s="1282"/>
      <c r="D3" s="1282"/>
      <c r="E3" s="2484"/>
      <c r="F3" s="2483">
        <v>1</v>
      </c>
      <c r="G3" s="1282"/>
      <c r="H3" s="1282"/>
      <c r="I3" s="1282"/>
      <c r="J3" s="1282"/>
      <c r="K3" s="1282"/>
      <c r="L3" s="1283"/>
      <c r="M3" s="1284"/>
      <c r="N3" s="1284"/>
      <c r="O3" s="1284"/>
      <c r="P3" s="1406"/>
      <c r="Q3" s="289"/>
      <c r="R3" s="290"/>
      <c r="S3" s="1412" t="e">
        <f>INDEX(PT_DIFFERENTIATION_NUM_TER,MATCH(B3,PT_DIFFERENTIATION_TER_ID,0))</f>
        <v>#N/A</v>
      </c>
      <c r="T3" s="245" t="s">
        <v>395</v>
      </c>
      <c r="U3" s="237"/>
      <c r="V3" s="2469"/>
      <c r="W3" s="2470"/>
      <c r="X3" s="2470"/>
      <c r="Y3" s="2470"/>
      <c r="Z3" s="2470"/>
      <c r="AA3" s="2470"/>
      <c r="AB3" s="2471"/>
      <c r="AC3" s="2469" t="e">
        <f>INDEX(PT_DIFFERENTIATION_TER,MATCH(B3,PT_DIFFERENTIATION_TER_ID,0))</f>
        <v>#N/A</v>
      </c>
      <c r="AD3" s="2470"/>
      <c r="AE3" s="2470"/>
      <c r="AF3" s="2470"/>
      <c r="AG3" s="2470"/>
      <c r="AH3" s="2470"/>
      <c r="AI3" s="2470"/>
      <c r="AJ3" s="2471"/>
      <c r="AK3" s="1177" t="s">
        <v>396</v>
      </c>
      <c r="AM3" s="437"/>
      <c r="AN3" s="437" t="str">
        <f t="shared" si="0"/>
        <v>Территория действия тарифа</v>
      </c>
      <c r="AO3" s="437"/>
      <c r="AP3" s="437"/>
      <c r="AQ3" s="1074">
        <v>0</v>
      </c>
    </row>
    <row r="4" spans="1:43" ht="23.25" hidden="1" customHeight="1">
      <c r="A4" s="1282"/>
      <c r="B4" s="1282"/>
      <c r="C4" s="1282"/>
      <c r="D4" s="1282"/>
      <c r="E4" s="2484"/>
      <c r="F4" s="2484"/>
      <c r="G4" s="2483">
        <v>1</v>
      </c>
      <c r="H4" s="1282"/>
      <c r="I4" s="1282"/>
      <c r="J4" s="1282"/>
      <c r="K4" s="1282"/>
      <c r="L4" s="1283"/>
      <c r="M4" s="1284"/>
      <c r="N4" s="1284"/>
      <c r="O4" s="1284"/>
      <c r="P4" s="291"/>
      <c r="Q4" s="289"/>
      <c r="R4" s="290"/>
      <c r="S4" s="1412" t="e">
        <f>INDEX(PT_DIFFERENTIATION_NUM_CS,MATCH(C4,PT_DIFFERENTIATION_CS_ID,0))</f>
        <v>#N/A</v>
      </c>
      <c r="T4" s="246" t="s">
        <v>514</v>
      </c>
      <c r="U4" s="237"/>
      <c r="V4" s="2469"/>
      <c r="W4" s="2470"/>
      <c r="X4" s="2470"/>
      <c r="Y4" s="2470"/>
      <c r="Z4" s="2470"/>
      <c r="AA4" s="2470"/>
      <c r="AB4" s="2471"/>
      <c r="AC4" s="2469" t="e">
        <f>INDEX(PT_DIFFERENTIATION_CS,MATCH(C4,PT_DIFFERENTIATION_CS_ID,0))</f>
        <v>#N/A</v>
      </c>
      <c r="AD4" s="2470"/>
      <c r="AE4" s="2470"/>
      <c r="AF4" s="2470"/>
      <c r="AG4" s="2470"/>
      <c r="AH4" s="2470"/>
      <c r="AI4" s="2470"/>
      <c r="AJ4" s="2471"/>
      <c r="AK4" s="1177" t="s">
        <v>515</v>
      </c>
      <c r="AM4" s="437"/>
      <c r="AN4" s="437" t="str">
        <f t="shared" si="0"/>
        <v>Наименование централизованной системы водоотведения</v>
      </c>
      <c r="AO4" s="437"/>
      <c r="AP4" s="437"/>
      <c r="AQ4" s="1074">
        <v>0</v>
      </c>
    </row>
    <row r="5" spans="1:43" ht="23.25" hidden="1" customHeight="1">
      <c r="A5" s="1282"/>
      <c r="B5" s="1282"/>
      <c r="C5" s="1282"/>
      <c r="D5" s="1282"/>
      <c r="E5" s="2484"/>
      <c r="F5" s="2484"/>
      <c r="G5" s="2484"/>
      <c r="H5" s="2484"/>
      <c r="I5" s="2481" t="e">
        <f>S4&amp;".1"</f>
        <v>#N/A</v>
      </c>
      <c r="J5" s="1282"/>
      <c r="K5" s="1282"/>
      <c r="L5" s="1283"/>
      <c r="P5" s="2482">
        <v>1</v>
      </c>
      <c r="Q5" s="1400"/>
      <c r="R5" s="293"/>
      <c r="S5" s="1412" t="e">
        <f>$I5</f>
        <v>#N/A</v>
      </c>
      <c r="T5" s="222" t="s">
        <v>481</v>
      </c>
      <c r="U5" s="237"/>
      <c r="V5" s="2550"/>
      <c r="W5" s="2551"/>
      <c r="X5" s="2551"/>
      <c r="Y5" s="2551"/>
      <c r="Z5" s="2551"/>
      <c r="AA5" s="2551"/>
      <c r="AB5" s="2552"/>
      <c r="AC5" s="2553"/>
      <c r="AD5" s="2554"/>
      <c r="AE5" s="2554"/>
      <c r="AF5" s="2554"/>
      <c r="AG5" s="2554"/>
      <c r="AH5" s="2554"/>
      <c r="AI5" s="2554"/>
      <c r="AJ5" s="2555"/>
      <c r="AK5" s="1177" t="s">
        <v>482</v>
      </c>
      <c r="AM5" s="437"/>
      <c r="AN5" s="437" t="str">
        <f t="shared" si="0"/>
        <v>Наименование признака дифференциации</v>
      </c>
      <c r="AO5" s="437"/>
      <c r="AP5" s="437"/>
      <c r="AQ5" s="1074">
        <v>0</v>
      </c>
    </row>
    <row r="6" spans="1:43" ht="23.25" hidden="1" customHeight="1">
      <c r="A6" s="1282"/>
      <c r="B6" s="1282"/>
      <c r="C6" s="1282"/>
      <c r="D6" s="1282"/>
      <c r="E6" s="2484"/>
      <c r="F6" s="2484"/>
      <c r="G6" s="2484"/>
      <c r="H6" s="2484"/>
      <c r="I6" s="2504"/>
      <c r="J6" s="2481" t="e">
        <f>I5&amp;".1"</f>
        <v>#N/A</v>
      </c>
      <c r="K6" s="1282"/>
      <c r="L6" s="1283" t="s">
        <v>404</v>
      </c>
      <c r="P6" s="2482"/>
      <c r="Q6" s="2482">
        <v>1</v>
      </c>
      <c r="R6" s="294"/>
      <c r="S6" s="1412" t="e">
        <f>$J6</f>
        <v>#N/A</v>
      </c>
      <c r="T6" s="223" t="s">
        <v>405</v>
      </c>
      <c r="U6" s="237"/>
      <c r="V6" s="2472"/>
      <c r="W6" s="2473"/>
      <c r="X6" s="2473"/>
      <c r="Y6" s="2473"/>
      <c r="Z6" s="2473"/>
      <c r="AA6" s="2473"/>
      <c r="AB6" s="2474"/>
      <c r="AC6" s="2472"/>
      <c r="AD6" s="2473"/>
      <c r="AE6" s="2473"/>
      <c r="AF6" s="2473"/>
      <c r="AG6" s="2473"/>
      <c r="AH6" s="2473"/>
      <c r="AI6" s="2473"/>
      <c r="AJ6" s="2474"/>
      <c r="AK6" s="1226" t="s">
        <v>483</v>
      </c>
      <c r="AM6" s="437"/>
      <c r="AN6" s="437" t="str">
        <f t="shared" si="0"/>
        <v>Группа потребителей</v>
      </c>
      <c r="AO6" s="437"/>
      <c r="AP6" s="437"/>
      <c r="AQ6" s="1074">
        <v>0</v>
      </c>
    </row>
    <row r="7" spans="1:43" ht="23.25" hidden="1" customHeight="1">
      <c r="A7" s="1282"/>
      <c r="B7" s="1282"/>
      <c r="C7" s="1282"/>
      <c r="D7" s="1282"/>
      <c r="E7" s="2484"/>
      <c r="F7" s="2484"/>
      <c r="G7" s="2484"/>
      <c r="H7" s="2484"/>
      <c r="I7" s="2504"/>
      <c r="J7" s="2504"/>
      <c r="K7" s="2481" t="e">
        <f>J6&amp;".1"</f>
        <v>#N/A</v>
      </c>
      <c r="L7" s="1283"/>
      <c r="P7" s="2482"/>
      <c r="Q7" s="2482"/>
      <c r="R7" s="294">
        <v>1</v>
      </c>
      <c r="S7" s="1412" t="e">
        <f>$K7</f>
        <v>#N/A</v>
      </c>
      <c r="T7" s="1356"/>
      <c r="U7" s="237"/>
      <c r="V7" s="688"/>
      <c r="W7" s="688"/>
      <c r="X7" s="1176"/>
      <c r="Y7" s="2486"/>
      <c r="Z7" s="2344" t="s">
        <v>64</v>
      </c>
      <c r="AA7" s="2486"/>
      <c r="AB7" s="2344" t="s">
        <v>64</v>
      </c>
      <c r="AC7" s="688"/>
      <c r="AD7" s="688"/>
      <c r="AE7" s="1176"/>
      <c r="AF7" s="2486"/>
      <c r="AG7" s="2344" t="s">
        <v>64</v>
      </c>
      <c r="AH7" s="2505"/>
      <c r="AI7" s="2344" t="s">
        <v>64</v>
      </c>
      <c r="AJ7" s="1357"/>
      <c r="AK7" s="25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4">
        <v>0</v>
      </c>
    </row>
    <row r="8" spans="1:43" ht="14.25" hidden="1" customHeight="1">
      <c r="A8" s="1282"/>
      <c r="B8" s="1282"/>
      <c r="C8" s="1282"/>
      <c r="D8" s="1282"/>
      <c r="E8" s="2484"/>
      <c r="F8" s="2484"/>
      <c r="G8" s="2484"/>
      <c r="H8" s="2484"/>
      <c r="I8" s="2504"/>
      <c r="J8" s="2504"/>
      <c r="K8" s="2481"/>
      <c r="L8" s="1283"/>
      <c r="P8" s="2482"/>
      <c r="Q8" s="2482"/>
      <c r="R8" s="294"/>
      <c r="S8" s="1409"/>
      <c r="T8" s="237"/>
      <c r="U8" s="237"/>
      <c r="V8" s="262"/>
      <c r="W8" s="262"/>
      <c r="X8" s="265" t="str">
        <f>Y7&amp;"-"&amp;AA7</f>
        <v>-</v>
      </c>
      <c r="Y8" s="2487"/>
      <c r="Z8" s="2344"/>
      <c r="AA8" s="2487"/>
      <c r="AB8" s="2344"/>
      <c r="AC8" s="262"/>
      <c r="AD8" s="262"/>
      <c r="AE8" s="265" t="str">
        <f>AF7&amp;"-"&amp;AH7</f>
        <v>-</v>
      </c>
      <c r="AF8" s="2487"/>
      <c r="AG8" s="2344"/>
      <c r="AH8" s="2506"/>
      <c r="AI8" s="2344"/>
      <c r="AJ8" s="1358"/>
      <c r="AK8" s="2549"/>
      <c r="AM8" s="437"/>
      <c r="AN8" s="437" t="str">
        <f t="shared" si="0"/>
        <v/>
      </c>
      <c r="AO8" s="437"/>
      <c r="AP8" s="437"/>
      <c r="AQ8" s="1074">
        <v>0</v>
      </c>
    </row>
    <row r="9" spans="1:43" ht="21" hidden="1" customHeight="1">
      <c r="A9" s="1282"/>
      <c r="B9" s="1282"/>
      <c r="C9" s="1282"/>
      <c r="D9" s="1282"/>
      <c r="E9" s="2484"/>
      <c r="F9" s="2484"/>
      <c r="G9" s="2484"/>
      <c r="H9" s="2484"/>
      <c r="I9" s="2504"/>
      <c r="J9" s="2481"/>
      <c r="K9" s="1282"/>
      <c r="L9" s="1283"/>
      <c r="P9" s="2482"/>
      <c r="Q9" s="2482"/>
      <c r="R9" s="293"/>
      <c r="S9" s="1197"/>
      <c r="T9" s="224" t="s">
        <v>484</v>
      </c>
      <c r="U9" s="304"/>
      <c r="V9" s="304"/>
      <c r="W9" s="304"/>
      <c r="X9" s="304"/>
      <c r="Y9" s="304"/>
      <c r="Z9" s="304"/>
      <c r="AA9" s="304"/>
      <c r="AB9" s="304"/>
      <c r="AC9" s="304"/>
      <c r="AD9" s="304"/>
      <c r="AE9" s="304"/>
      <c r="AF9" s="304"/>
      <c r="AG9" s="304"/>
      <c r="AH9" s="304"/>
      <c r="AI9" s="304"/>
      <c r="AJ9" s="304"/>
      <c r="AK9" s="1177" t="s">
        <v>485</v>
      </c>
      <c r="AM9" s="437"/>
      <c r="AN9" s="437" t="str">
        <f t="shared" si="0"/>
        <v>Добавить значение признака дифференциации</v>
      </c>
      <c r="AO9" s="437"/>
      <c r="AP9" s="437"/>
      <c r="AQ9" s="1074">
        <v>0</v>
      </c>
    </row>
    <row r="10" spans="1:43" ht="21" hidden="1" customHeight="1">
      <c r="A10" s="1282"/>
      <c r="B10" s="1282"/>
      <c r="C10" s="1282"/>
      <c r="D10" s="1282"/>
      <c r="E10" s="2484"/>
      <c r="F10" s="2484"/>
      <c r="G10" s="2484"/>
      <c r="H10" s="2484"/>
      <c r="I10" s="2481"/>
      <c r="J10" s="1282"/>
      <c r="K10" s="1282"/>
      <c r="L10" s="1283"/>
      <c r="P10" s="2482"/>
      <c r="Q10" s="1400"/>
      <c r="R10" s="293"/>
      <c r="S10" s="1197"/>
      <c r="T10" s="302" t="s">
        <v>410</v>
      </c>
      <c r="U10" s="304"/>
      <c r="V10" s="304"/>
      <c r="W10" s="304"/>
      <c r="X10" s="304"/>
      <c r="Y10" s="304"/>
      <c r="Z10" s="304"/>
      <c r="AA10" s="304"/>
      <c r="AB10" s="303"/>
      <c r="AC10" s="304"/>
      <c r="AD10" s="304"/>
      <c r="AE10" s="304"/>
      <c r="AF10" s="304"/>
      <c r="AG10" s="304"/>
      <c r="AH10" s="304"/>
      <c r="AI10" s="303"/>
      <c r="AJ10" s="304"/>
      <c r="AK10" s="1359"/>
      <c r="AM10" s="437"/>
      <c r="AN10" s="437" t="str">
        <f t="shared" si="0"/>
        <v>Добавить группу потребителей</v>
      </c>
      <c r="AO10" s="437"/>
      <c r="AP10" s="437"/>
      <c r="AQ10" s="1074">
        <v>0</v>
      </c>
    </row>
    <row r="11" spans="1:43" ht="21" hidden="1" customHeight="1">
      <c r="A11" s="1282"/>
      <c r="B11" s="1282"/>
      <c r="C11" s="1282"/>
      <c r="D11" s="1282"/>
      <c r="E11" s="2484"/>
      <c r="F11" s="2484"/>
      <c r="G11" s="2484"/>
      <c r="H11" s="2483"/>
      <c r="I11" s="1282"/>
      <c r="J11" s="1282"/>
      <c r="K11" s="1282"/>
      <c r="L11" s="1283"/>
      <c r="M11" s="1284"/>
      <c r="N11" s="1284"/>
      <c r="O11" s="474"/>
      <c r="P11" s="297"/>
      <c r="Q11" s="312"/>
      <c r="R11" s="292"/>
      <c r="S11" s="1197"/>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74">
        <v>0</v>
      </c>
    </row>
    <row r="12" spans="1:43" s="2245" customFormat="1" ht="14.25" hidden="1" customHeight="1">
      <c r="A12" s="1262"/>
      <c r="B12" s="1262"/>
      <c r="C12" s="1233"/>
      <c r="D12" s="1233"/>
      <c r="E12" s="2484"/>
      <c r="F12" s="2483"/>
      <c r="G12" s="1233"/>
      <c r="H12" s="1233"/>
      <c r="I12" s="1233"/>
      <c r="J12" s="1233"/>
      <c r="K12" s="1233"/>
      <c r="L12" s="1413"/>
      <c r="M12" s="1240"/>
      <c r="N12" s="1240"/>
      <c r="P12" s="1235"/>
      <c r="Q12" s="1236"/>
      <c r="R12" s="1235"/>
      <c r="S12" s="1241"/>
      <c r="T12" s="1244" t="s">
        <v>413</v>
      </c>
      <c r="U12" s="1243"/>
      <c r="V12" s="1243"/>
      <c r="W12" s="1243"/>
      <c r="X12" s="1243"/>
      <c r="Y12" s="1243"/>
      <c r="Z12" s="1243"/>
      <c r="AA12" s="1243"/>
      <c r="AB12" s="1243"/>
      <c r="AC12" s="1243"/>
      <c r="AD12" s="1243"/>
      <c r="AE12" s="1243"/>
      <c r="AF12" s="1243"/>
      <c r="AG12" s="1243"/>
      <c r="AH12" s="1243"/>
      <c r="AI12" s="1243"/>
      <c r="AJ12" s="1243"/>
      <c r="AK12" s="1243"/>
      <c r="AM12" s="720"/>
      <c r="AN12" s="720" t="str">
        <f t="shared" si="0"/>
        <v>Добавить централизованную систему для дифференциации</v>
      </c>
      <c r="AO12" s="720"/>
      <c r="AP12" s="720"/>
      <c r="AQ12" s="455">
        <v>0</v>
      </c>
    </row>
    <row r="13" spans="1:43" s="2245" customFormat="1" ht="14.25" hidden="1" customHeight="1">
      <c r="A13" s="1262"/>
      <c r="B13" s="1262"/>
      <c r="C13" s="1262"/>
      <c r="D13" s="1262"/>
      <c r="E13" s="2483"/>
      <c r="F13" s="1262"/>
      <c r="G13" s="1262"/>
      <c r="H13" s="1262"/>
      <c r="I13" s="1262"/>
      <c r="J13" s="1262"/>
      <c r="K13" s="1262"/>
      <c r="L13" s="1265"/>
      <c r="M13" s="1240"/>
      <c r="N13" s="1240"/>
      <c r="O13" s="455"/>
      <c r="P13" s="317"/>
      <c r="Q13" s="1263"/>
      <c r="R13" s="317"/>
      <c r="S13" s="1241"/>
      <c r="T13" s="1244" t="s">
        <v>414</v>
      </c>
      <c r="U13" s="1243"/>
      <c r="V13" s="1243"/>
      <c r="W13" s="1243"/>
      <c r="X13" s="1243"/>
      <c r="Y13" s="1243"/>
      <c r="Z13" s="1243"/>
      <c r="AA13" s="1243"/>
      <c r="AB13" s="1243"/>
      <c r="AC13" s="1243"/>
      <c r="AD13" s="1243"/>
      <c r="AE13" s="1243"/>
      <c r="AF13" s="1243"/>
      <c r="AG13" s="1243"/>
      <c r="AH13" s="1243"/>
      <c r="AI13" s="1243"/>
      <c r="AJ13" s="1243"/>
      <c r="AK13" s="1243"/>
      <c r="AM13" s="437"/>
      <c r="AN13" s="437" t="str">
        <f t="shared" si="0"/>
        <v>Добавить территорию для дифференциации</v>
      </c>
      <c r="AO13" s="437"/>
      <c r="AP13" s="437"/>
      <c r="AQ13" s="448">
        <v>0</v>
      </c>
    </row>
    <row r="14" spans="1:43" ht="14.25" hidden="1" customHeight="1">
      <c r="AB14" s="264"/>
      <c r="AI14" s="264"/>
      <c r="AQ14" s="1074">
        <v>0</v>
      </c>
    </row>
    <row r="15" spans="1:43" ht="14.25" hidden="1" customHeight="1">
      <c r="AC15" s="1279"/>
      <c r="AD15" s="1279"/>
      <c r="AE15" s="1280"/>
      <c r="AF15" s="2488"/>
      <c r="AG15" s="2489" t="s">
        <v>64</v>
      </c>
      <c r="AH15" s="2488"/>
      <c r="AI15" s="2489" t="s">
        <v>64</v>
      </c>
      <c r="AQ15" s="1074">
        <v>0</v>
      </c>
    </row>
    <row r="16" spans="1:43" ht="14.25" hidden="1" customHeight="1">
      <c r="AC16" s="1279"/>
      <c r="AD16" s="1279"/>
      <c r="AE16" s="265" t="str">
        <f>AF15&amp;"-"&amp;AH15</f>
        <v>-</v>
      </c>
      <c r="AF16" s="2489"/>
      <c r="AG16" s="2489"/>
      <c r="AH16" s="2489"/>
      <c r="AI16" s="2489"/>
      <c r="AQ16" s="1074">
        <v>0</v>
      </c>
    </row>
    <row r="17" spans="1:43" ht="14.25" hidden="1" customHeight="1">
      <c r="AI17" s="264"/>
      <c r="AQ17" s="1074">
        <v>0</v>
      </c>
    </row>
    <row r="18" spans="1:43" s="2244" customFormat="1" ht="22.5" hidden="1" customHeight="1">
      <c r="L18" s="1397"/>
      <c r="M18" s="1281"/>
      <c r="N18" s="1281"/>
      <c r="O18" s="1286" t="s">
        <v>415</v>
      </c>
      <c r="P18" s="1281"/>
      <c r="Q18" s="1290"/>
      <c r="R18" s="1290"/>
      <c r="S18" s="666"/>
      <c r="Y18" s="1286"/>
      <c r="AA18" s="1286"/>
      <c r="AB18" s="1285"/>
      <c r="AF18" s="1286"/>
      <c r="AH18" s="1286"/>
      <c r="AI18" s="1285"/>
      <c r="AL18" s="448"/>
      <c r="AM18" s="448"/>
      <c r="AN18" s="448"/>
      <c r="AO18" s="448"/>
      <c r="AP18" s="448"/>
      <c r="AQ18" s="1079">
        <v>0</v>
      </c>
    </row>
    <row r="19" spans="1:43" s="2244" customFormat="1" ht="14.25" hidden="1" customHeight="1">
      <c r="L19" s="1397"/>
      <c r="M19" s="1281"/>
      <c r="N19" s="1281"/>
      <c r="O19" s="1281"/>
      <c r="P19" s="1281"/>
      <c r="Q19" s="1290"/>
      <c r="R19" s="1290"/>
      <c r="S19" s="666"/>
      <c r="AB19" s="1285"/>
      <c r="AI19" s="1285"/>
      <c r="AL19" s="448"/>
      <c r="AM19" s="448"/>
      <c r="AN19" s="448"/>
      <c r="AO19" s="448"/>
      <c r="AP19" s="448"/>
      <c r="AQ19" s="1079">
        <v>0</v>
      </c>
    </row>
    <row r="20" spans="1:43" s="2244" customFormat="1" ht="12" hidden="1" customHeight="1">
      <c r="L20" s="1397"/>
      <c r="M20" s="1281"/>
      <c r="N20" s="1281"/>
      <c r="O20" s="1283" t="s">
        <v>416</v>
      </c>
      <c r="P20" s="1281"/>
      <c r="Q20" s="1361"/>
      <c r="R20" s="1361"/>
      <c r="S20" s="666"/>
      <c r="T20" s="1079" t="s">
        <v>417</v>
      </c>
      <c r="Z20" s="123" t="s">
        <v>418</v>
      </c>
      <c r="AB20" s="123" t="s">
        <v>419</v>
      </c>
      <c r="AC20" s="1079" t="s">
        <v>417</v>
      </c>
      <c r="AG20" s="123" t="s">
        <v>420</v>
      </c>
      <c r="AI20" s="123" t="s">
        <v>419</v>
      </c>
      <c r="AQ20" s="1079">
        <v>0</v>
      </c>
    </row>
    <row r="21" spans="1:43" ht="14.25" hidden="1" customHeight="1">
      <c r="O21" s="1283"/>
      <c r="AQ21" s="1074">
        <v>0</v>
      </c>
    </row>
    <row r="22" spans="1:43" ht="14.25" hidden="1" customHeight="1">
      <c r="O22" s="1283"/>
      <c r="AQ22" s="1074">
        <v>0</v>
      </c>
    </row>
    <row r="23" spans="1:43" ht="14.65" customHeight="1">
      <c r="Q23" s="313"/>
      <c r="R23" s="313"/>
      <c r="S23" s="1194"/>
      <c r="T23" s="300"/>
      <c r="U23" s="300"/>
      <c r="V23" s="446"/>
      <c r="W23" s="446"/>
      <c r="X23" s="446"/>
      <c r="Y23" s="446"/>
      <c r="Z23" s="446"/>
      <c r="AA23" s="446"/>
      <c r="AB23" s="446"/>
      <c r="AC23" s="446"/>
      <c r="AD23" s="446"/>
      <c r="AE23" s="446"/>
      <c r="AF23" s="446"/>
      <c r="AG23" s="446"/>
      <c r="AH23" s="446"/>
      <c r="AI23" s="446"/>
      <c r="AQ23" s="1074">
        <v>14</v>
      </c>
    </row>
    <row r="24" spans="1:43" ht="14.65" customHeight="1">
      <c r="Q24" s="313"/>
      <c r="R24" s="313"/>
      <c r="S24" s="246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67"/>
      <c r="U24" s="2467"/>
      <c r="V24" s="2467"/>
      <c r="W24" s="2467"/>
      <c r="X24" s="2467"/>
      <c r="Y24" s="2467"/>
      <c r="Z24" s="2467"/>
      <c r="AA24" s="2467"/>
      <c r="AB24" s="2467"/>
      <c r="AC24" s="2467"/>
      <c r="AD24" s="2467"/>
      <c r="AE24" s="2467"/>
      <c r="AF24" s="2467"/>
      <c r="AG24" s="2467"/>
      <c r="AH24" s="2467"/>
      <c r="AI24" s="1162"/>
      <c r="AQ24" s="1074">
        <v>14</v>
      </c>
    </row>
    <row r="25" spans="1:43" ht="14.65" customHeight="1">
      <c r="Q25" s="313"/>
      <c r="R25" s="313"/>
      <c r="S25" s="2412" t="str">
        <f>IF(org=0,"Не определено",org)</f>
        <v>МУП "Водоканал"</v>
      </c>
      <c r="T25" s="2412"/>
      <c r="U25" s="2412"/>
      <c r="V25" s="2412"/>
      <c r="W25" s="2412"/>
      <c r="X25" s="2412"/>
      <c r="Y25" s="2412"/>
      <c r="Z25" s="2412"/>
      <c r="AA25" s="2412"/>
      <c r="AB25" s="2412"/>
      <c r="AC25" s="2412"/>
      <c r="AD25" s="2412"/>
      <c r="AE25" s="2412"/>
      <c r="AF25" s="2412"/>
      <c r="AG25" s="2412"/>
      <c r="AH25" s="2412"/>
      <c r="AI25" s="1162"/>
      <c r="AQ25" s="1074">
        <v>14</v>
      </c>
    </row>
    <row r="26" spans="1:43" ht="14.25" hidden="1" customHeight="1">
      <c r="Q26" s="313"/>
      <c r="R26" s="313"/>
      <c r="S26" s="1194"/>
      <c r="T26" s="300"/>
      <c r="U26" s="300"/>
      <c r="V26" s="259"/>
      <c r="W26" s="259"/>
      <c r="X26" s="259"/>
      <c r="Y26" s="259"/>
      <c r="Z26" s="259"/>
      <c r="AA26" s="259"/>
      <c r="AB26" s="259"/>
      <c r="AC26" s="259"/>
      <c r="AD26" s="259"/>
      <c r="AE26" s="259"/>
      <c r="AF26" s="259"/>
      <c r="AG26" s="259"/>
      <c r="AH26" s="259"/>
      <c r="AI26" s="259"/>
      <c r="AJ26" s="446"/>
      <c r="AQ26" s="1074">
        <v>0</v>
      </c>
    </row>
    <row r="27" spans="1:43" s="2254" customFormat="1" ht="25.5" hidden="1" customHeight="1">
      <c r="A27" s="1287"/>
      <c r="B27" s="1287"/>
      <c r="C27" s="1287"/>
      <c r="D27" s="1287"/>
      <c r="E27" s="1287"/>
      <c r="F27" s="1287"/>
      <c r="G27" s="1287"/>
      <c r="H27" s="1287"/>
      <c r="I27" s="1287"/>
      <c r="J27" s="1287"/>
      <c r="K27" s="1287"/>
      <c r="L27" s="1288"/>
      <c r="M27" s="1287"/>
      <c r="N27" s="1287"/>
      <c r="O27" s="1287"/>
      <c r="S27" s="2475" t="s">
        <v>41</v>
      </c>
      <c r="T27" s="2475"/>
      <c r="U27" s="1291"/>
      <c r="V27" s="2476" t="str">
        <f>IF(TITLE_NAME_OR_PR_CHANGE="",IF(TITLE_NAME_OR_PR="","",TITLE_NAME_OR_PR),TITLE_NAME_OR_PR_CHANGE)</f>
        <v/>
      </c>
      <c r="W27" s="2476"/>
      <c r="X27" s="2476"/>
      <c r="Y27" s="2476"/>
      <c r="Z27" s="2476"/>
      <c r="AA27" s="2476"/>
      <c r="AB27" s="263"/>
      <c r="AC27" s="2476" t="str">
        <f>IF(TITLE_NAME_OR_PR_CHANGE="",IF(TITLE_NAME_OR_PR="","",TITLE_NAME_OR_PR),TITLE_NAME_OR_PR_CHANGE)</f>
        <v/>
      </c>
      <c r="AD27" s="2476"/>
      <c r="AE27" s="2476"/>
      <c r="AF27" s="2476"/>
      <c r="AG27" s="2476"/>
      <c r="AH27" s="2476"/>
      <c r="AI27" s="263"/>
      <c r="AJ27" s="263"/>
      <c r="AK27" s="217"/>
      <c r="AL27" s="305"/>
      <c r="AM27" s="305"/>
      <c r="AN27" s="305"/>
      <c r="AO27" s="305"/>
      <c r="AP27" s="305"/>
      <c r="AQ27" s="355">
        <v>0</v>
      </c>
    </row>
    <row r="28" spans="1:43" s="2254" customFormat="1" ht="18.75" hidden="1" customHeight="1">
      <c r="A28" s="1287"/>
      <c r="B28" s="1287"/>
      <c r="C28" s="1287"/>
      <c r="D28" s="1287"/>
      <c r="E28" s="1287"/>
      <c r="F28" s="1287"/>
      <c r="G28" s="1287"/>
      <c r="H28" s="1287"/>
      <c r="I28" s="1287"/>
      <c r="J28" s="1287"/>
      <c r="K28" s="1287"/>
      <c r="L28" s="1288"/>
      <c r="M28" s="1287"/>
      <c r="N28" s="1287"/>
      <c r="O28" s="1287"/>
      <c r="S28" s="2475" t="s">
        <v>421</v>
      </c>
      <c r="T28" s="2475"/>
      <c r="U28" s="1291"/>
      <c r="V28" s="2485" t="str">
        <f>IF(TITLE_DATE_PR_CHANGE="",IF(TITLE_DATE_PR="","",TITLE_DATE_PR),TITLE_DATE_PR_CHANGE)</f>
        <v/>
      </c>
      <c r="W28" s="2485"/>
      <c r="X28" s="2485"/>
      <c r="Y28" s="2485"/>
      <c r="Z28" s="2485"/>
      <c r="AA28" s="2485"/>
      <c r="AB28" s="263"/>
      <c r="AC28" s="2485" t="str">
        <f>IF(TITLE_DATE_PR_CHANGE="",IF(TITLE_DATE_PR="","",TITLE_DATE_PR),TITLE_DATE_PR_CHANGE)</f>
        <v/>
      </c>
      <c r="AD28" s="2485"/>
      <c r="AE28" s="2485"/>
      <c r="AF28" s="2485"/>
      <c r="AG28" s="2485"/>
      <c r="AH28" s="2485"/>
      <c r="AI28" s="263"/>
      <c r="AJ28" s="263"/>
      <c r="AK28" s="217"/>
      <c r="AL28" s="305"/>
      <c r="AM28" s="305"/>
      <c r="AN28" s="305"/>
      <c r="AO28" s="305"/>
      <c r="AP28" s="305"/>
      <c r="AQ28" s="355">
        <v>0</v>
      </c>
    </row>
    <row r="29" spans="1:43" s="2254" customFormat="1" ht="18.75" hidden="1" customHeight="1">
      <c r="A29" s="1287"/>
      <c r="B29" s="1287"/>
      <c r="C29" s="1287"/>
      <c r="D29" s="1287"/>
      <c r="E29" s="1287"/>
      <c r="F29" s="1287"/>
      <c r="G29" s="1287"/>
      <c r="H29" s="1287"/>
      <c r="I29" s="1287"/>
      <c r="J29" s="1287"/>
      <c r="K29" s="1287"/>
      <c r="L29" s="1288"/>
      <c r="M29" s="1287"/>
      <c r="N29" s="1287"/>
      <c r="O29" s="1287"/>
      <c r="S29" s="2475" t="s">
        <v>422</v>
      </c>
      <c r="T29" s="2475"/>
      <c r="U29" s="1291"/>
      <c r="V29" s="2476" t="str">
        <f>IF(TITLE_NUMBER_PR_CHANGE="",IF(TITLE_NUMBER_PR="","",TITLE_NUMBER_PR),TITLE_NUMBER_PR_CHANGE)</f>
        <v/>
      </c>
      <c r="W29" s="2476"/>
      <c r="X29" s="2476"/>
      <c r="Y29" s="2476"/>
      <c r="Z29" s="2476"/>
      <c r="AA29" s="2476"/>
      <c r="AB29" s="263"/>
      <c r="AC29" s="2476" t="str">
        <f>IF(TITLE_NUMBER_PR_CHANGE="",IF(TITLE_NUMBER_PR="","",TITLE_NUMBER_PR),TITLE_NUMBER_PR_CHANGE)</f>
        <v/>
      </c>
      <c r="AD29" s="2476"/>
      <c r="AE29" s="2476"/>
      <c r="AF29" s="2476"/>
      <c r="AG29" s="2476"/>
      <c r="AH29" s="2476"/>
      <c r="AI29" s="263"/>
      <c r="AJ29" s="263"/>
      <c r="AK29" s="217"/>
      <c r="AL29" s="305"/>
      <c r="AM29" s="305"/>
      <c r="AN29" s="305"/>
      <c r="AO29" s="305"/>
      <c r="AP29" s="305"/>
      <c r="AQ29" s="355">
        <v>0</v>
      </c>
    </row>
    <row r="30" spans="1:43" s="2254" customFormat="1" ht="18.75" hidden="1" customHeight="1">
      <c r="A30" s="1287"/>
      <c r="B30" s="1287"/>
      <c r="C30" s="1287"/>
      <c r="D30" s="1287"/>
      <c r="E30" s="1287"/>
      <c r="F30" s="1287"/>
      <c r="G30" s="1287"/>
      <c r="H30" s="1287"/>
      <c r="I30" s="1287"/>
      <c r="J30" s="1287"/>
      <c r="K30" s="1287"/>
      <c r="L30" s="1288"/>
      <c r="M30" s="1287"/>
      <c r="N30" s="1287"/>
      <c r="O30" s="1287"/>
      <c r="S30" s="2475" t="s">
        <v>42</v>
      </c>
      <c r="T30" s="2475"/>
      <c r="U30" s="1291"/>
      <c r="V30" s="2476" t="str">
        <f>IF(TITLE_IST_PUB_CHANGE="",IF(TITLE_IST_PUB="","",TITLE_IST_PUB),TITLE_IST_PUB_CHANGE)</f>
        <v/>
      </c>
      <c r="W30" s="2476"/>
      <c r="X30" s="2476"/>
      <c r="Y30" s="2476"/>
      <c r="Z30" s="2476"/>
      <c r="AA30" s="2476"/>
      <c r="AB30" s="263"/>
      <c r="AC30" s="2476" t="str">
        <f>IF(TITLE_IST_PUB_CHANGE="",IF(TITLE_IST_PUB="","",TITLE_IST_PUB),TITLE_IST_PUB_CHANGE)</f>
        <v/>
      </c>
      <c r="AD30" s="2476"/>
      <c r="AE30" s="2476"/>
      <c r="AF30" s="2476"/>
      <c r="AG30" s="2476"/>
      <c r="AH30" s="2476"/>
      <c r="AI30" s="263"/>
      <c r="AJ30" s="263"/>
      <c r="AK30" s="217"/>
      <c r="AL30" s="305"/>
      <c r="AM30" s="305"/>
      <c r="AN30" s="305"/>
      <c r="AO30" s="305"/>
      <c r="AP30" s="305"/>
      <c r="AQ30" s="355">
        <v>0</v>
      </c>
    </row>
    <row r="31" spans="1:43" ht="14.25" hidden="1" customHeight="1">
      <c r="Q31" s="313"/>
      <c r="R31" s="313"/>
      <c r="S31" s="1194"/>
      <c r="T31" s="300"/>
      <c r="U31" s="300"/>
      <c r="V31" s="259"/>
      <c r="W31" s="259"/>
      <c r="X31" s="259"/>
      <c r="Y31" s="259"/>
      <c r="Z31" s="259"/>
      <c r="AA31" s="259"/>
      <c r="AB31" s="259"/>
      <c r="AC31" s="259"/>
      <c r="AD31" s="259"/>
      <c r="AE31" s="259"/>
      <c r="AF31" s="259"/>
      <c r="AG31" s="259"/>
      <c r="AH31" s="259"/>
      <c r="AI31" s="259"/>
      <c r="AJ31" s="446"/>
      <c r="AQ31" s="1074">
        <v>0</v>
      </c>
    </row>
    <row r="32" spans="1:43" s="2254" customFormat="1" ht="18.75" hidden="1" customHeight="1">
      <c r="A32" s="1287"/>
      <c r="B32" s="1287"/>
      <c r="C32" s="1287"/>
      <c r="D32" s="1287"/>
      <c r="E32" s="1287"/>
      <c r="F32" s="1287"/>
      <c r="G32" s="1287"/>
      <c r="H32" s="1287"/>
      <c r="I32" s="1287"/>
      <c r="J32" s="1287"/>
      <c r="K32" s="1287"/>
      <c r="L32" s="1288"/>
      <c r="M32" s="1287"/>
      <c r="N32" s="1287"/>
      <c r="O32" s="1287"/>
      <c r="S32" s="2475" t="s">
        <v>423</v>
      </c>
      <c r="T32" s="2475"/>
      <c r="U32" s="1291"/>
      <c r="V32" s="2485" t="str">
        <f>IF(TITLE_DATE_PR_CHANGE="",IF(TITLE_DATE_PR="","",TITLE_DATE_PR),TITLE_DATE_PR_CHANGE)</f>
        <v/>
      </c>
      <c r="W32" s="2485"/>
      <c r="X32" s="2485"/>
      <c r="Y32" s="2485"/>
      <c r="Z32" s="2485"/>
      <c r="AA32" s="2485"/>
      <c r="AB32" s="263"/>
      <c r="AC32" s="2485" t="str">
        <f>IF(TITLE_DATE_PR_CHANGE="",IF(TITLE_DATE_PR="","",TITLE_DATE_PR),TITLE_DATE_PR_CHANGE)</f>
        <v/>
      </c>
      <c r="AD32" s="2485"/>
      <c r="AE32" s="2485"/>
      <c r="AF32" s="2485"/>
      <c r="AG32" s="2485"/>
      <c r="AH32" s="2485"/>
      <c r="AI32" s="263"/>
      <c r="AJ32" s="263"/>
      <c r="AK32" s="217"/>
      <c r="AL32" s="305"/>
      <c r="AM32" s="305"/>
      <c r="AN32" s="305"/>
      <c r="AO32" s="305"/>
      <c r="AP32" s="305"/>
      <c r="AQ32" s="355">
        <v>0</v>
      </c>
    </row>
    <row r="33" spans="1:43" s="2254" customFormat="1" ht="18.75" hidden="1" customHeight="1">
      <c r="A33" s="1287"/>
      <c r="B33" s="1287"/>
      <c r="C33" s="1287"/>
      <c r="D33" s="1287"/>
      <c r="E33" s="1287"/>
      <c r="F33" s="1287"/>
      <c r="G33" s="1287"/>
      <c r="H33" s="1287"/>
      <c r="I33" s="1287"/>
      <c r="J33" s="1287"/>
      <c r="K33" s="1287"/>
      <c r="L33" s="1288"/>
      <c r="M33" s="1287"/>
      <c r="N33" s="1287"/>
      <c r="O33" s="1287"/>
      <c r="S33" s="2475" t="s">
        <v>424</v>
      </c>
      <c r="T33" s="2475"/>
      <c r="U33" s="1291"/>
      <c r="V33" s="2476" t="str">
        <f>IF(TITLE_NUMBER_PR_CHANGE="",IF(TITLE_NUMBER_PR="","",TITLE_NUMBER_PR),TITLE_NUMBER_PR_CHANGE)</f>
        <v/>
      </c>
      <c r="W33" s="2476"/>
      <c r="X33" s="2476"/>
      <c r="Y33" s="2476"/>
      <c r="Z33" s="2476"/>
      <c r="AA33" s="2476"/>
      <c r="AB33" s="263"/>
      <c r="AC33" s="2476" t="str">
        <f>IF(TITLE_NUMBER_PR_CHANGE="",IF(TITLE_NUMBER_PR="","",TITLE_NUMBER_PR),TITLE_NUMBER_PR_CHANGE)</f>
        <v/>
      </c>
      <c r="AD33" s="2476"/>
      <c r="AE33" s="2476"/>
      <c r="AF33" s="2476"/>
      <c r="AG33" s="2476"/>
      <c r="AH33" s="2476"/>
      <c r="AI33" s="263"/>
      <c r="AJ33" s="263"/>
      <c r="AK33" s="217"/>
      <c r="AL33" s="305"/>
      <c r="AM33" s="305"/>
      <c r="AN33" s="305"/>
      <c r="AO33" s="305"/>
      <c r="AP33" s="305"/>
      <c r="AQ33" s="355">
        <v>0</v>
      </c>
    </row>
    <row r="34" spans="1:43" s="2254"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194"/>
      <c r="T35" s="300"/>
      <c r="U35" s="1163"/>
      <c r="V35" s="2477"/>
      <c r="W35" s="2477"/>
      <c r="X35" s="2477"/>
      <c r="Y35" s="2477"/>
      <c r="Z35" s="2477"/>
      <c r="AA35" s="2477"/>
      <c r="AB35" s="2477"/>
      <c r="AC35" s="2477"/>
      <c r="AD35" s="2477"/>
      <c r="AE35" s="2477"/>
      <c r="AF35" s="2477"/>
      <c r="AG35" s="2477"/>
      <c r="AH35" s="2477"/>
      <c r="AI35" s="2477"/>
      <c r="AQ35" s="1074">
        <v>14</v>
      </c>
    </row>
    <row r="36" spans="1:43" ht="14.65" customHeight="1">
      <c r="Q36" s="313"/>
      <c r="R36" s="313"/>
      <c r="S36" s="2363" t="s">
        <v>298</v>
      </c>
      <c r="T36" s="2363"/>
      <c r="U36" s="2363"/>
      <c r="V36" s="2363"/>
      <c r="W36" s="2363"/>
      <c r="X36" s="2363"/>
      <c r="Y36" s="2363"/>
      <c r="Z36" s="2363"/>
      <c r="AA36" s="2363"/>
      <c r="AB36" s="2363"/>
      <c r="AC36" s="2363"/>
      <c r="AD36" s="2363"/>
      <c r="AE36" s="2363"/>
      <c r="AF36" s="2363"/>
      <c r="AG36" s="2363"/>
      <c r="AH36" s="2363"/>
      <c r="AI36" s="2363"/>
      <c r="AJ36" s="2363"/>
      <c r="AK36" s="2363" t="s">
        <v>299</v>
      </c>
      <c r="AQ36" s="1074">
        <v>14</v>
      </c>
    </row>
    <row r="37" spans="1:43" ht="14.65" customHeight="1">
      <c r="Q37" s="313"/>
      <c r="R37" s="313"/>
      <c r="S37" s="2491" t="s">
        <v>87</v>
      </c>
      <c r="T37" s="2442" t="s">
        <v>426</v>
      </c>
      <c r="U37" s="238"/>
      <c r="V37" s="2492" t="s">
        <v>427</v>
      </c>
      <c r="W37" s="2493"/>
      <c r="X37" s="2493"/>
      <c r="Y37" s="2493"/>
      <c r="Z37" s="2493"/>
      <c r="AA37" s="2494"/>
      <c r="AB37" s="2495" t="s">
        <v>428</v>
      </c>
      <c r="AC37" s="2492" t="s">
        <v>427</v>
      </c>
      <c r="AD37" s="2493"/>
      <c r="AE37" s="2493"/>
      <c r="AF37" s="2493"/>
      <c r="AG37" s="2493"/>
      <c r="AH37" s="2494"/>
      <c r="AI37" s="2495" t="s">
        <v>429</v>
      </c>
      <c r="AJ37" s="2498" t="s">
        <v>430</v>
      </c>
      <c r="AK37" s="2363"/>
      <c r="AQ37" s="1074">
        <v>14</v>
      </c>
    </row>
    <row r="38" spans="1:43" ht="35.65" customHeight="1">
      <c r="Q38" s="313"/>
      <c r="R38" s="313"/>
      <c r="S38" s="2491"/>
      <c r="T38" s="2442"/>
      <c r="U38" s="955"/>
      <c r="V38" s="1402" t="s">
        <v>487</v>
      </c>
      <c r="W38" s="2335" t="s">
        <v>433</v>
      </c>
      <c r="X38" s="2334"/>
      <c r="Y38" s="2335" t="s">
        <v>434</v>
      </c>
      <c r="Z38" s="2340"/>
      <c r="AA38" s="2334"/>
      <c r="AB38" s="2496"/>
      <c r="AC38" s="1402" t="s">
        <v>487</v>
      </c>
      <c r="AD38" s="2335" t="s">
        <v>433</v>
      </c>
      <c r="AE38" s="2334"/>
      <c r="AF38" s="2335" t="s">
        <v>434</v>
      </c>
      <c r="AG38" s="2340"/>
      <c r="AH38" s="2334"/>
      <c r="AI38" s="2496"/>
      <c r="AJ38" s="2499"/>
      <c r="AK38" s="2363"/>
      <c r="AQ38" s="1074">
        <v>34</v>
      </c>
    </row>
    <row r="39" spans="1:43" ht="90.4" customHeight="1">
      <c r="A39" s="1289"/>
      <c r="B39" s="1289" t="s">
        <v>135</v>
      </c>
      <c r="C39" s="1289" t="s">
        <v>136</v>
      </c>
      <c r="D39" s="1289" t="s">
        <v>137</v>
      </c>
      <c r="E39" s="1283" t="s">
        <v>435</v>
      </c>
      <c r="F39" s="1283" t="s">
        <v>436</v>
      </c>
      <c r="G39" s="1283" t="s">
        <v>437</v>
      </c>
      <c r="H39" s="1283"/>
      <c r="I39" s="1283" t="s">
        <v>488</v>
      </c>
      <c r="J39" s="1283" t="s">
        <v>440</v>
      </c>
      <c r="K39" s="1283" t="s">
        <v>489</v>
      </c>
      <c r="L39" s="1283" t="s">
        <v>416</v>
      </c>
      <c r="Q39" s="313"/>
      <c r="R39" s="313"/>
      <c r="S39" s="2491"/>
      <c r="T39" s="2442"/>
      <c r="U39" s="239"/>
      <c r="V39" s="1402" t="s">
        <v>516</v>
      </c>
      <c r="W39" s="1141" t="s">
        <v>517</v>
      </c>
      <c r="X39" s="1141" t="s">
        <v>492</v>
      </c>
      <c r="Y39" s="1408" t="s">
        <v>444</v>
      </c>
      <c r="Z39" s="2451" t="s">
        <v>445</v>
      </c>
      <c r="AA39" s="2453"/>
      <c r="AB39" s="2497"/>
      <c r="AC39" s="1402" t="s">
        <v>516</v>
      </c>
      <c r="AD39" s="1141" t="s">
        <v>517</v>
      </c>
      <c r="AE39" s="1141" t="s">
        <v>492</v>
      </c>
      <c r="AF39" s="1408" t="s">
        <v>444</v>
      </c>
      <c r="AG39" s="2451" t="s">
        <v>445</v>
      </c>
      <c r="AH39" s="2453"/>
      <c r="AI39" s="2497"/>
      <c r="AJ39" s="2500"/>
      <c r="AK39" s="2363"/>
      <c r="AQ39" s="1074">
        <v>86</v>
      </c>
    </row>
    <row r="40" spans="1:43" s="2269"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108</v>
      </c>
      <c r="T40" s="1174" t="s">
        <v>109</v>
      </c>
      <c r="U40" s="1164" t="str">
        <f ca="1">OFFSET(U40,0,-1)</f>
        <v>2</v>
      </c>
      <c r="V40" s="1401">
        <f ca="1">OFFSET(V40,0,-1)+1</f>
        <v>3</v>
      </c>
      <c r="W40" s="1401">
        <f ca="1">OFFSET(W40,0,-1)+1</f>
        <v>4</v>
      </c>
      <c r="X40" s="1401">
        <f ca="1">OFFSET(X40,0,-1)+1</f>
        <v>5</v>
      </c>
      <c r="Y40" s="1401">
        <f ca="1">OFFSET(Y40,0,-1)+1</f>
        <v>6</v>
      </c>
      <c r="Z40" s="2490">
        <f ca="1">OFFSET(Z40,0,-1)+1</f>
        <v>7</v>
      </c>
      <c r="AA40" s="2490"/>
      <c r="AB40" s="1401">
        <f ca="1">OFFSET(AB40,0,-2)+1</f>
        <v>8</v>
      </c>
      <c r="AC40" s="1401">
        <f ca="1">OFFSET(AC40,0,-1)+1</f>
        <v>9</v>
      </c>
      <c r="AD40" s="1401">
        <f ca="1">OFFSET(AD40,0,-1)+1</f>
        <v>10</v>
      </c>
      <c r="AE40" s="1401">
        <f ca="1">OFFSET(AE40,0,-1)+1</f>
        <v>11</v>
      </c>
      <c r="AF40" s="1401">
        <f ca="1">OFFSET(AF40,0,-1)+1</f>
        <v>12</v>
      </c>
      <c r="AG40" s="2490">
        <f ca="1">OFFSET(AG40,0,-1)+1</f>
        <v>13</v>
      </c>
      <c r="AH40" s="2490"/>
      <c r="AI40" s="1401">
        <f ca="1">OFFSET(AI40,0,-2)+1</f>
        <v>14</v>
      </c>
      <c r="AJ40" s="1164">
        <f ca="1">OFFSET(AJ40,0,-1)</f>
        <v>14</v>
      </c>
      <c r="AK40" s="1401">
        <f ca="1">OFFSET(AK40,0,-1)+1</f>
        <v>15</v>
      </c>
      <c r="AL40" s="448"/>
      <c r="AM40" s="448"/>
      <c r="AN40" s="448"/>
      <c r="AO40" s="448"/>
      <c r="AP40" s="448"/>
      <c r="AQ40" s="433">
        <v>0</v>
      </c>
    </row>
    <row r="41" spans="1:43" ht="24" customHeight="1">
      <c r="A41" s="1282" t="s">
        <v>264</v>
      </c>
      <c r="B41" s="1282"/>
      <c r="C41" s="1282"/>
      <c r="D41" s="1282"/>
      <c r="E41" s="2483">
        <v>1</v>
      </c>
      <c r="F41" s="1282"/>
      <c r="G41" s="1282"/>
      <c r="H41" s="1282"/>
      <c r="I41" s="1282"/>
      <c r="J41" s="1282"/>
      <c r="K41" s="1282"/>
      <c r="L41" s="1283"/>
      <c r="M41" s="1284"/>
      <c r="N41" s="1284"/>
      <c r="O41" s="1284"/>
      <c r="P41" s="298"/>
      <c r="Q41" s="297"/>
      <c r="R41" s="292"/>
      <c r="S41" s="1412">
        <f>INDEX(PT_DIFFERENTIATION_NUM_NTAR,MATCH(A41,PT_DIFFERENTIATION_NTAR_ID,0))</f>
        <v>0</v>
      </c>
      <c r="T41" s="235" t="s">
        <v>123</v>
      </c>
      <c r="U41" s="237"/>
      <c r="V41" s="2469"/>
      <c r="W41" s="2470"/>
      <c r="X41" s="2470"/>
      <c r="Y41" s="2470"/>
      <c r="Z41" s="2470"/>
      <c r="AA41" s="2470"/>
      <c r="AB41" s="2471"/>
      <c r="AC41" s="2469" t="str">
        <f>INDEX(PT_DIFFERENTIATION_NTAR,MATCH(A41,PT_DIFFERENTIATION_NTAR_ID,0))</f>
        <v/>
      </c>
      <c r="AD41" s="2470"/>
      <c r="AE41" s="2470"/>
      <c r="AF41" s="2470"/>
      <c r="AG41" s="2470"/>
      <c r="AH41" s="2470"/>
      <c r="AI41" s="2470"/>
      <c r="AJ41" s="2471"/>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4">
        <v>23</v>
      </c>
    </row>
    <row r="42" spans="1:43" ht="24" customHeight="1">
      <c r="A42" s="1282" t="s">
        <v>264</v>
      </c>
      <c r="B42" s="1282" t="s">
        <v>265</v>
      </c>
      <c r="C42" s="1282"/>
      <c r="D42" s="1282"/>
      <c r="E42" s="2484"/>
      <c r="F42" s="2483">
        <v>1</v>
      </c>
      <c r="G42" s="1282"/>
      <c r="H42" s="1282"/>
      <c r="I42" s="1282"/>
      <c r="J42" s="1282"/>
      <c r="K42" s="1282"/>
      <c r="L42" s="1283"/>
      <c r="M42" s="1284"/>
      <c r="N42" s="1284"/>
      <c r="O42" s="1284"/>
      <c r="P42" s="1406"/>
      <c r="Q42" s="289"/>
      <c r="R42" s="290"/>
      <c r="S42" s="1412" t="str">
        <f>INDEX(PT_DIFFERENTIATION_NUM_TER,MATCH(B42,PT_DIFFERENTIATION_TER_ID,0))</f>
        <v>.</v>
      </c>
      <c r="T42" s="245" t="s">
        <v>395</v>
      </c>
      <c r="U42" s="237"/>
      <c r="V42" s="2469"/>
      <c r="W42" s="2470"/>
      <c r="X42" s="2470"/>
      <c r="Y42" s="2470"/>
      <c r="Z42" s="2470"/>
      <c r="AA42" s="2470"/>
      <c r="AB42" s="2471"/>
      <c r="AC42" s="2469" t="str">
        <f>INDEX(PT_DIFFERENTIATION_TER,MATCH(B42,PT_DIFFERENTIATION_TER_ID,0))</f>
        <v/>
      </c>
      <c r="AD42" s="2470"/>
      <c r="AE42" s="2470"/>
      <c r="AF42" s="2470"/>
      <c r="AG42" s="2470"/>
      <c r="AH42" s="2470"/>
      <c r="AI42" s="2470"/>
      <c r="AJ42" s="2471"/>
      <c r="AK42" s="1177" t="s">
        <v>396</v>
      </c>
      <c r="AM42" s="437"/>
      <c r="AN42" s="437" t="str">
        <f t="shared" si="1"/>
        <v>Территория действия тарифа</v>
      </c>
      <c r="AO42" s="437"/>
      <c r="AP42" s="437"/>
      <c r="AQ42" s="1074">
        <v>23</v>
      </c>
    </row>
    <row r="43" spans="1:43" ht="24" customHeight="1">
      <c r="A43" s="1282" t="s">
        <v>264</v>
      </c>
      <c r="B43" s="1282" t="s">
        <v>265</v>
      </c>
      <c r="C43" s="1282" t="s">
        <v>266</v>
      </c>
      <c r="D43" s="1282"/>
      <c r="E43" s="2484"/>
      <c r="F43" s="2484"/>
      <c r="G43" s="2483">
        <v>1</v>
      </c>
      <c r="H43" s="1282"/>
      <c r="I43" s="1282"/>
      <c r="J43" s="1282"/>
      <c r="K43" s="1282"/>
      <c r="L43" s="1283"/>
      <c r="M43" s="1284"/>
      <c r="N43" s="1284"/>
      <c r="O43" s="1284"/>
      <c r="P43" s="291"/>
      <c r="Q43" s="289"/>
      <c r="R43" s="290"/>
      <c r="S43" s="1412" t="str">
        <f>INDEX(PT_DIFFERENTIATION_NUM_CS,MATCH(C43,PT_DIFFERENTIATION_CS_ID,0))</f>
        <v>..</v>
      </c>
      <c r="T43" s="246" t="s">
        <v>514</v>
      </c>
      <c r="U43" s="237"/>
      <c r="V43" s="2469"/>
      <c r="W43" s="2470"/>
      <c r="X43" s="2470"/>
      <c r="Y43" s="2470"/>
      <c r="Z43" s="2470"/>
      <c r="AA43" s="2470"/>
      <c r="AB43" s="2471"/>
      <c r="AC43" s="2469" t="str">
        <f>INDEX(PT_DIFFERENTIATION_CS,MATCH(C43,PT_DIFFERENTIATION_CS_ID,0))</f>
        <v/>
      </c>
      <c r="AD43" s="2470"/>
      <c r="AE43" s="2470"/>
      <c r="AF43" s="2470"/>
      <c r="AG43" s="2470"/>
      <c r="AH43" s="2470"/>
      <c r="AI43" s="2470"/>
      <c r="AJ43" s="2471"/>
      <c r="AK43" s="1177" t="s">
        <v>515</v>
      </c>
      <c r="AM43" s="437"/>
      <c r="AN43" s="437" t="str">
        <f t="shared" si="1"/>
        <v>Наименование централизованной системы водоотведения</v>
      </c>
      <c r="AO43" s="437"/>
      <c r="AP43" s="437"/>
      <c r="AQ43" s="1074">
        <v>23</v>
      </c>
    </row>
    <row r="44" spans="1:43" ht="24" customHeight="1">
      <c r="A44" s="1282" t="s">
        <v>264</v>
      </c>
      <c r="B44" s="1282" t="s">
        <v>265</v>
      </c>
      <c r="C44" s="1282" t="s">
        <v>266</v>
      </c>
      <c r="D44" s="1282" t="s">
        <v>518</v>
      </c>
      <c r="E44" s="2484"/>
      <c r="F44" s="2484"/>
      <c r="G44" s="2484"/>
      <c r="H44" s="2484"/>
      <c r="I44" s="2481" t="str">
        <f>S43&amp;".1"</f>
        <v>...1</v>
      </c>
      <c r="J44" s="1282"/>
      <c r="K44" s="1282"/>
      <c r="L44" s="1283"/>
      <c r="P44" s="2482">
        <v>1</v>
      </c>
      <c r="Q44" s="1400"/>
      <c r="R44" s="293"/>
      <c r="S44" s="1412" t="str">
        <f>$I44</f>
        <v>...1</v>
      </c>
      <c r="T44" s="222" t="s">
        <v>481</v>
      </c>
      <c r="U44" s="237"/>
      <c r="V44" s="2550"/>
      <c r="W44" s="2551"/>
      <c r="X44" s="2551"/>
      <c r="Y44" s="2551"/>
      <c r="Z44" s="2551"/>
      <c r="AA44" s="2551"/>
      <c r="AB44" s="2552"/>
      <c r="AC44" s="2553"/>
      <c r="AD44" s="2554"/>
      <c r="AE44" s="2554"/>
      <c r="AF44" s="2554"/>
      <c r="AG44" s="2554"/>
      <c r="AH44" s="2554"/>
      <c r="AI44" s="2554"/>
      <c r="AJ44" s="2555"/>
      <c r="AK44" s="1177" t="s">
        <v>482</v>
      </c>
      <c r="AM44" s="437"/>
      <c r="AN44" s="437" t="str">
        <f t="shared" si="1"/>
        <v>Наименование признака дифференциации</v>
      </c>
      <c r="AO44" s="437"/>
      <c r="AP44" s="437"/>
      <c r="AQ44" s="1074">
        <v>23</v>
      </c>
    </row>
    <row r="45" spans="1:43" ht="24" customHeight="1">
      <c r="A45" s="1282" t="s">
        <v>264</v>
      </c>
      <c r="B45" s="1282" t="s">
        <v>265</v>
      </c>
      <c r="C45" s="1282" t="s">
        <v>266</v>
      </c>
      <c r="D45" s="1282" t="s">
        <v>518</v>
      </c>
      <c r="E45" s="2484"/>
      <c r="F45" s="2484"/>
      <c r="G45" s="2484"/>
      <c r="H45" s="2484"/>
      <c r="I45" s="2504"/>
      <c r="J45" s="2481" t="str">
        <f>I44&amp;".1"</f>
        <v>...1.1</v>
      </c>
      <c r="K45" s="1282"/>
      <c r="L45" s="1283" t="s">
        <v>404</v>
      </c>
      <c r="P45" s="2482"/>
      <c r="Q45" s="2482">
        <v>1</v>
      </c>
      <c r="R45" s="294"/>
      <c r="S45" s="1412" t="str">
        <f>$J45</f>
        <v>...1.1</v>
      </c>
      <c r="T45" s="223" t="s">
        <v>405</v>
      </c>
      <c r="U45" s="237"/>
      <c r="V45" s="2472"/>
      <c r="W45" s="2473"/>
      <c r="X45" s="2473"/>
      <c r="Y45" s="2473"/>
      <c r="Z45" s="2473"/>
      <c r="AA45" s="2473"/>
      <c r="AB45" s="2474"/>
      <c r="AC45" s="2472"/>
      <c r="AD45" s="2473"/>
      <c r="AE45" s="2473"/>
      <c r="AF45" s="2473"/>
      <c r="AG45" s="2473"/>
      <c r="AH45" s="2473"/>
      <c r="AI45" s="2473"/>
      <c r="AJ45" s="2474"/>
      <c r="AK45" s="1226" t="s">
        <v>483</v>
      </c>
      <c r="AM45" s="437"/>
      <c r="AN45" s="437" t="str">
        <f t="shared" si="1"/>
        <v>Группа потребителей</v>
      </c>
      <c r="AO45" s="437"/>
      <c r="AP45" s="437"/>
      <c r="AQ45" s="1074">
        <v>23</v>
      </c>
    </row>
    <row r="46" spans="1:43" ht="24" customHeight="1">
      <c r="A46" s="1282" t="s">
        <v>264</v>
      </c>
      <c r="B46" s="1282" t="s">
        <v>265</v>
      </c>
      <c r="C46" s="1282" t="s">
        <v>266</v>
      </c>
      <c r="D46" s="1282" t="s">
        <v>518</v>
      </c>
      <c r="E46" s="2484"/>
      <c r="F46" s="2484"/>
      <c r="G46" s="2484"/>
      <c r="H46" s="2484"/>
      <c r="I46" s="2504"/>
      <c r="J46" s="2504"/>
      <c r="K46" s="2481" t="str">
        <f>J45&amp;".1"</f>
        <v>...1.1.1</v>
      </c>
      <c r="L46" s="1283"/>
      <c r="P46" s="2482"/>
      <c r="Q46" s="2482"/>
      <c r="R46" s="294">
        <v>1</v>
      </c>
      <c r="S46" s="1412" t="str">
        <f>$K46</f>
        <v>...1.1.1</v>
      </c>
      <c r="T46" s="1356"/>
      <c r="U46" s="237"/>
      <c r="V46" s="1279"/>
      <c r="W46" s="1279"/>
      <c r="X46" s="1280"/>
      <c r="Y46" s="2488"/>
      <c r="Z46" s="2489" t="s">
        <v>64</v>
      </c>
      <c r="AA46" s="2488"/>
      <c r="AB46" s="2489" t="s">
        <v>64</v>
      </c>
      <c r="AC46" s="688"/>
      <c r="AD46" s="688"/>
      <c r="AE46" s="1176"/>
      <c r="AF46" s="2486"/>
      <c r="AG46" s="2344" t="s">
        <v>64</v>
      </c>
      <c r="AH46" s="2505"/>
      <c r="AI46" s="2344" t="s">
        <v>19</v>
      </c>
      <c r="AJ46" s="1357"/>
      <c r="AK46" s="25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4">
        <v>23</v>
      </c>
    </row>
    <row r="47" spans="1:43" ht="0" hidden="1" customHeight="1">
      <c r="A47" s="1282" t="s">
        <v>264</v>
      </c>
      <c r="B47" s="1282" t="s">
        <v>265</v>
      </c>
      <c r="C47" s="1282" t="s">
        <v>266</v>
      </c>
      <c r="D47" s="1282" t="s">
        <v>518</v>
      </c>
      <c r="E47" s="2484"/>
      <c r="F47" s="2484"/>
      <c r="G47" s="2484"/>
      <c r="H47" s="2484"/>
      <c r="I47" s="2504"/>
      <c r="J47" s="2504"/>
      <c r="K47" s="2481"/>
      <c r="L47" s="1283"/>
      <c r="P47" s="2482"/>
      <c r="Q47" s="2482"/>
      <c r="R47" s="294"/>
      <c r="S47" s="1409"/>
      <c r="T47" s="237"/>
      <c r="U47" s="237"/>
      <c r="V47" s="1279"/>
      <c r="W47" s="1279"/>
      <c r="X47" s="265" t="str">
        <f>Y46&amp;"-"&amp;AA46</f>
        <v>-</v>
      </c>
      <c r="Y47" s="2489"/>
      <c r="Z47" s="2489"/>
      <c r="AA47" s="2489"/>
      <c r="AB47" s="2489"/>
      <c r="AC47" s="262"/>
      <c r="AD47" s="262"/>
      <c r="AE47" s="265" t="str">
        <f>AF46&amp;"-"&amp;AH46</f>
        <v>-</v>
      </c>
      <c r="AF47" s="2487"/>
      <c r="AG47" s="2344"/>
      <c r="AH47" s="2506"/>
      <c r="AI47" s="2344"/>
      <c r="AJ47" s="1358"/>
      <c r="AK47" s="2549"/>
      <c r="AM47" s="437"/>
      <c r="AN47" s="437" t="str">
        <f t="shared" si="1"/>
        <v/>
      </c>
      <c r="AO47" s="437"/>
      <c r="AP47" s="437"/>
      <c r="AQ47" s="1074">
        <v>0</v>
      </c>
    </row>
    <row r="48" spans="1:43" ht="21" customHeight="1">
      <c r="A48" s="1282" t="s">
        <v>264</v>
      </c>
      <c r="B48" s="1282" t="s">
        <v>265</v>
      </c>
      <c r="C48" s="1282" t="s">
        <v>266</v>
      </c>
      <c r="D48" s="1282" t="s">
        <v>518</v>
      </c>
      <c r="E48" s="2484"/>
      <c r="F48" s="2484"/>
      <c r="G48" s="2484"/>
      <c r="H48" s="2484"/>
      <c r="I48" s="2504"/>
      <c r="J48" s="2481"/>
      <c r="K48" s="1282"/>
      <c r="L48" s="1283"/>
      <c r="P48" s="2482"/>
      <c r="Q48" s="2482"/>
      <c r="R48" s="293"/>
      <c r="S48" s="1197"/>
      <c r="T48" s="224" t="s">
        <v>484</v>
      </c>
      <c r="U48" s="304"/>
      <c r="V48" s="304"/>
      <c r="W48" s="304"/>
      <c r="X48" s="304"/>
      <c r="Y48" s="304"/>
      <c r="Z48" s="304"/>
      <c r="AA48" s="304"/>
      <c r="AB48" s="304"/>
      <c r="AC48" s="304"/>
      <c r="AD48" s="304"/>
      <c r="AE48" s="304"/>
      <c r="AF48" s="304"/>
      <c r="AG48" s="304"/>
      <c r="AH48" s="304"/>
      <c r="AI48" s="304"/>
      <c r="AJ48" s="304"/>
      <c r="AK48" s="1177" t="s">
        <v>485</v>
      </c>
      <c r="AM48" s="437"/>
      <c r="AN48" s="437" t="str">
        <f t="shared" si="1"/>
        <v>Добавить значение признака дифференциации</v>
      </c>
      <c r="AO48" s="437"/>
      <c r="AP48" s="437"/>
      <c r="AQ48" s="1074">
        <v>20</v>
      </c>
    </row>
    <row r="49" spans="1:43" ht="21.95" customHeight="1">
      <c r="A49" s="1282" t="s">
        <v>264</v>
      </c>
      <c r="B49" s="1282" t="s">
        <v>265</v>
      </c>
      <c r="C49" s="1282" t="s">
        <v>266</v>
      </c>
      <c r="D49" s="1282" t="s">
        <v>518</v>
      </c>
      <c r="E49" s="2484"/>
      <c r="F49" s="2484"/>
      <c r="G49" s="2484"/>
      <c r="H49" s="2484"/>
      <c r="I49" s="2481"/>
      <c r="J49" s="1282"/>
      <c r="K49" s="1282"/>
      <c r="L49" s="1283"/>
      <c r="P49" s="2482"/>
      <c r="Q49" s="1400"/>
      <c r="R49" s="293"/>
      <c r="S49" s="1197"/>
      <c r="T49" s="302" t="s">
        <v>410</v>
      </c>
      <c r="U49" s="304"/>
      <c r="V49" s="304"/>
      <c r="W49" s="304"/>
      <c r="X49" s="304"/>
      <c r="Y49" s="304"/>
      <c r="Z49" s="304"/>
      <c r="AA49" s="304"/>
      <c r="AB49" s="303"/>
      <c r="AC49" s="304"/>
      <c r="AD49" s="304"/>
      <c r="AE49" s="304"/>
      <c r="AF49" s="304"/>
      <c r="AG49" s="304"/>
      <c r="AH49" s="304"/>
      <c r="AI49" s="303"/>
      <c r="AJ49" s="304"/>
      <c r="AK49" s="1359"/>
      <c r="AM49" s="437"/>
      <c r="AN49" s="437" t="str">
        <f t="shared" si="1"/>
        <v>Добавить группу потребителей</v>
      </c>
      <c r="AO49" s="437"/>
      <c r="AP49" s="437"/>
      <c r="AQ49" s="1074">
        <v>21</v>
      </c>
    </row>
    <row r="50" spans="1:43" ht="21.95" customHeight="1">
      <c r="A50" s="1282" t="s">
        <v>264</v>
      </c>
      <c r="B50" s="1282" t="s">
        <v>265</v>
      </c>
      <c r="C50" s="1282" t="s">
        <v>266</v>
      </c>
      <c r="D50" s="1282" t="s">
        <v>518</v>
      </c>
      <c r="E50" s="2484"/>
      <c r="F50" s="2484"/>
      <c r="G50" s="2484"/>
      <c r="H50" s="2483"/>
      <c r="I50" s="1282"/>
      <c r="J50" s="1282"/>
      <c r="K50" s="1282"/>
      <c r="L50" s="1283"/>
      <c r="M50" s="1284"/>
      <c r="N50" s="1284"/>
      <c r="O50" s="474"/>
      <c r="P50" s="297"/>
      <c r="Q50" s="312"/>
      <c r="R50" s="292"/>
      <c r="S50" s="1197"/>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74">
        <v>21</v>
      </c>
    </row>
    <row r="51" spans="1:43" s="2245" customFormat="1" ht="0" hidden="1" customHeight="1">
      <c r="A51" s="1262" t="s">
        <v>264</v>
      </c>
      <c r="B51" s="1262" t="s">
        <v>265</v>
      </c>
      <c r="C51" s="1233"/>
      <c r="D51" s="1233"/>
      <c r="E51" s="2484"/>
      <c r="F51" s="2483"/>
      <c r="G51" s="1233"/>
      <c r="H51" s="1233"/>
      <c r="I51" s="1233"/>
      <c r="J51" s="1233"/>
      <c r="K51" s="1233"/>
      <c r="L51" s="1413"/>
      <c r="M51" s="1240"/>
      <c r="N51" s="1240"/>
      <c r="P51" s="1235"/>
      <c r="Q51" s="1236"/>
      <c r="R51" s="1235"/>
      <c r="S51" s="1241"/>
      <c r="T51" s="1244" t="s">
        <v>413</v>
      </c>
      <c r="U51" s="1243"/>
      <c r="V51" s="1243"/>
      <c r="W51" s="1243"/>
      <c r="X51" s="1243"/>
      <c r="Y51" s="1243"/>
      <c r="Z51" s="1243"/>
      <c r="AA51" s="1243"/>
      <c r="AB51" s="1243"/>
      <c r="AC51" s="1243"/>
      <c r="AD51" s="1243"/>
      <c r="AE51" s="1243"/>
      <c r="AF51" s="1243"/>
      <c r="AG51" s="1243"/>
      <c r="AH51" s="1243"/>
      <c r="AI51" s="1243"/>
      <c r="AJ51" s="1243"/>
      <c r="AK51" s="1243"/>
      <c r="AM51" s="720"/>
      <c r="AN51" s="720" t="str">
        <f t="shared" si="1"/>
        <v>Добавить централизованную систему для дифференциации</v>
      </c>
      <c r="AO51" s="720"/>
      <c r="AP51" s="720"/>
      <c r="AQ51" s="455">
        <v>0</v>
      </c>
    </row>
    <row r="52" spans="1:43" s="2245" customFormat="1" ht="0" hidden="1" customHeight="1">
      <c r="A52" s="1262" t="s">
        <v>264</v>
      </c>
      <c r="B52" s="1262"/>
      <c r="C52" s="1262"/>
      <c r="D52" s="1262"/>
      <c r="E52" s="2483"/>
      <c r="F52" s="1262"/>
      <c r="G52" s="1262"/>
      <c r="H52" s="1262"/>
      <c r="I52" s="1262"/>
      <c r="J52" s="1262"/>
      <c r="K52" s="1262"/>
      <c r="L52" s="1265"/>
      <c r="M52" s="1240"/>
      <c r="N52" s="1240"/>
      <c r="O52" s="455"/>
      <c r="P52" s="317"/>
      <c r="Q52" s="1263"/>
      <c r="R52" s="317"/>
      <c r="S52" s="1241"/>
      <c r="T52" s="1244" t="s">
        <v>414</v>
      </c>
      <c r="U52" s="1243"/>
      <c r="V52" s="1243"/>
      <c r="W52" s="1243"/>
      <c r="X52" s="1243"/>
      <c r="Y52" s="1243"/>
      <c r="Z52" s="1243"/>
      <c r="AA52" s="1243"/>
      <c r="AB52" s="1243"/>
      <c r="AC52" s="1243"/>
      <c r="AD52" s="1243"/>
      <c r="AE52" s="1243"/>
      <c r="AF52" s="1243"/>
      <c r="AG52" s="1243"/>
      <c r="AH52" s="1243"/>
      <c r="AI52" s="1243"/>
      <c r="AJ52" s="1243"/>
      <c r="AK52" s="1243"/>
      <c r="AM52" s="437"/>
      <c r="AN52" s="437" t="str">
        <f t="shared" si="1"/>
        <v>Добавить территорию для дифференциации</v>
      </c>
      <c r="AO52" s="437"/>
      <c r="AP52" s="437"/>
      <c r="AQ52" s="448">
        <v>0</v>
      </c>
    </row>
    <row r="53" spans="1:43" s="2245"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446</v>
      </c>
      <c r="U53" s="1243"/>
      <c r="V53" s="1243"/>
      <c r="W53" s="1243"/>
      <c r="X53" s="1243"/>
      <c r="Y53" s="1243"/>
      <c r="Z53" s="1243"/>
      <c r="AA53" s="1243"/>
      <c r="AB53" s="1243"/>
      <c r="AC53" s="1243"/>
      <c r="AD53" s="1243"/>
      <c r="AE53" s="1243"/>
      <c r="AF53" s="1243"/>
      <c r="AG53" s="1243"/>
      <c r="AH53" s="1243"/>
      <c r="AI53" s="1243"/>
      <c r="AJ53" s="1243"/>
      <c r="AK53" s="1243"/>
      <c r="AM53" s="720"/>
      <c r="AN53" s="720" t="str">
        <f t="shared" si="1"/>
        <v>Добавить наименование тарифа</v>
      </c>
      <c r="AO53" s="720"/>
      <c r="AP53" s="720"/>
      <c r="AQ53" s="455">
        <v>0</v>
      </c>
    </row>
    <row r="54" spans="1:43" ht="11.45" customHeight="1">
      <c r="M54" s="1079"/>
      <c r="N54" s="1079"/>
      <c r="O54" s="474"/>
      <c r="P54" s="1074"/>
      <c r="Q54" s="1074"/>
      <c r="R54" s="1074"/>
      <c r="S54" s="1074"/>
      <c r="AL54" s="1074"/>
      <c r="AM54" s="1074"/>
      <c r="AN54" s="1074"/>
      <c r="AO54" s="1074"/>
      <c r="AP54" s="1074"/>
      <c r="AQ54" s="1074">
        <v>11</v>
      </c>
    </row>
    <row r="55" spans="1:43" ht="14.65" customHeight="1">
      <c r="O55" s="474"/>
      <c r="S55" s="1172"/>
      <c r="T55" s="2503"/>
      <c r="U55" s="2503"/>
      <c r="V55" s="2503"/>
      <c r="W55" s="2503"/>
      <c r="X55" s="2503"/>
      <c r="Y55" s="2503"/>
      <c r="Z55" s="2503"/>
      <c r="AA55" s="2503"/>
      <c r="AB55" s="2503"/>
      <c r="AC55" s="2503"/>
      <c r="AD55" s="2503"/>
      <c r="AE55" s="2503"/>
      <c r="AF55" s="2503"/>
      <c r="AG55" s="2503"/>
      <c r="AH55" s="2503"/>
      <c r="AI55" s="2503"/>
      <c r="AJ55" s="2503"/>
      <c r="AK55" s="2503"/>
      <c r="AQ55" s="1074">
        <v>14</v>
      </c>
    </row>
    <row r="56" spans="1:43" ht="14.65" customHeight="1">
      <c r="O56" s="474"/>
      <c r="AQ56" s="1074">
        <v>14</v>
      </c>
    </row>
    <row r="57" spans="1:43" ht="14.65" customHeight="1">
      <c r="O57" s="474"/>
      <c r="S57" s="1172"/>
      <c r="T57" s="2503"/>
      <c r="U57" s="2503"/>
      <c r="V57" s="2503"/>
      <c r="W57" s="2503"/>
      <c r="X57" s="2503"/>
      <c r="Y57" s="2503"/>
      <c r="Z57" s="2503"/>
      <c r="AA57" s="2503"/>
      <c r="AB57" s="2503"/>
      <c r="AC57" s="2503"/>
      <c r="AD57" s="2503"/>
      <c r="AE57" s="2503"/>
      <c r="AF57" s="2503"/>
      <c r="AG57" s="2503"/>
      <c r="AH57" s="2503"/>
      <c r="AI57" s="2503"/>
      <c r="AJ57" s="2503"/>
      <c r="AK57" s="2503"/>
      <c r="AQ57" s="1074">
        <v>14</v>
      </c>
    </row>
    <row r="58" spans="1:43" ht="22.5" hidden="1" customHeight="1">
      <c r="A58" s="1079" t="s">
        <v>81</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8">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8">
        <v>10</v>
      </c>
      <c r="AM58" s="448">
        <v>10</v>
      </c>
      <c r="AN58" s="448">
        <v>10</v>
      </c>
      <c r="AO58" s="448">
        <v>10</v>
      </c>
      <c r="AP58" s="448">
        <v>10</v>
      </c>
      <c r="AQ58" s="1074">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44" hidden="1"/>
    <col min="2" max="2" width="11" style="2244" hidden="1" customWidth="1"/>
    <col min="3" max="3" width="10.5703125" style="2244" hidden="1"/>
    <col min="4" max="4" width="11.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4.140625" style="2244" hidden="1" customWidth="1"/>
    <col min="10" max="10" width="9.85546875" style="2244" hidden="1" customWidth="1"/>
    <col min="11" max="11" width="14.7109375" style="2244" hidden="1" customWidth="1"/>
    <col min="12" max="12" width="19.140625" style="2270" hidden="1" customWidth="1"/>
    <col min="13" max="14" width="12.28515625" style="2271" hidden="1" customWidth="1"/>
    <col min="15" max="15" width="23.42578125" style="2271" hidden="1" customWidth="1"/>
    <col min="16" max="16" width="3" style="2272" customWidth="1"/>
    <col min="17" max="18" width="3" style="2273" customWidth="1"/>
    <col min="19" max="19" width="12" style="2274" customWidth="1"/>
    <col min="20" max="20" width="35" style="2238" customWidth="1"/>
    <col min="21" max="21" width="0.140625" style="2238" customWidth="1"/>
    <col min="22" max="24" width="24.7109375" style="2238" hidden="1" customWidth="1"/>
    <col min="25" max="25" width="11.7109375" style="2238" hidden="1" customWidth="1"/>
    <col min="26" max="26" width="3.7109375" style="2238" hidden="1" customWidth="1"/>
    <col min="27" max="27" width="11.7109375" style="2238" hidden="1" customWidth="1"/>
    <col min="28" max="28" width="8.5703125" style="2238" hidden="1" customWidth="1"/>
    <col min="29" max="29" width="24.7109375" style="2238" customWidth="1"/>
    <col min="30" max="31" width="24" style="2238" customWidth="1"/>
    <col min="32" max="32" width="11" style="2238" customWidth="1"/>
    <col min="33" max="33" width="3.7109375" style="2238" customWidth="1"/>
    <col min="34" max="34" width="11" style="2238" customWidth="1"/>
    <col min="35" max="35" width="8.5703125" style="2238" hidden="1" customWidth="1"/>
    <col min="36" max="36" width="4" style="2238" customWidth="1"/>
    <col min="37" max="37" width="115" style="2238" customWidth="1"/>
    <col min="38" max="42" width="10" style="2245" customWidth="1"/>
    <col min="43" max="43" width="10.5703125" style="2238" hidden="1"/>
  </cols>
  <sheetData>
    <row r="1" spans="1:43" ht="22.5" hidden="1" customHeight="1">
      <c r="X1" s="264"/>
      <c r="Y1" s="264"/>
      <c r="AE1" s="264"/>
      <c r="AF1" s="264"/>
      <c r="AQ1" s="1074" t="s">
        <v>14</v>
      </c>
    </row>
    <row r="2" spans="1:43" ht="23.25" hidden="1" customHeight="1">
      <c r="A2" s="1282"/>
      <c r="B2" s="1282"/>
      <c r="C2" s="1282"/>
      <c r="D2" s="1282"/>
      <c r="E2" s="2483">
        <v>1</v>
      </c>
      <c r="F2" s="1282"/>
      <c r="G2" s="1282"/>
      <c r="H2" s="1282"/>
      <c r="I2" s="1282"/>
      <c r="J2" s="1282"/>
      <c r="K2" s="1282"/>
      <c r="L2" s="1283"/>
      <c r="M2" s="1284"/>
      <c r="N2" s="1284"/>
      <c r="O2" s="1284"/>
      <c r="P2" s="298"/>
      <c r="Q2" s="297"/>
      <c r="R2" s="292"/>
      <c r="S2" s="1412" t="e">
        <f>INDEX(PT_DIFFERENTIATION_NUM_NTAR,MATCH(A2,PT_DIFFERENTIATION_NTAR_ID,0))</f>
        <v>#N/A</v>
      </c>
      <c r="T2" s="235" t="s">
        <v>123</v>
      </c>
      <c r="U2" s="237"/>
      <c r="V2" s="2469"/>
      <c r="W2" s="2470"/>
      <c r="X2" s="2470"/>
      <c r="Y2" s="2470"/>
      <c r="Z2" s="2470"/>
      <c r="AA2" s="2470"/>
      <c r="AB2" s="2471"/>
      <c r="AC2" s="2469" t="e">
        <f>INDEX(PT_DIFFERENTIATION_NTAR,MATCH(A2,PT_DIFFERENTIATION_NTAR_ID,0))</f>
        <v>#N/A</v>
      </c>
      <c r="AD2" s="2470"/>
      <c r="AE2" s="2470"/>
      <c r="AF2" s="2470"/>
      <c r="AG2" s="2470"/>
      <c r="AH2" s="2470"/>
      <c r="AI2" s="2470"/>
      <c r="AJ2" s="2471"/>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4">
        <v>0</v>
      </c>
    </row>
    <row r="3" spans="1:43" ht="23.25" hidden="1" customHeight="1">
      <c r="A3" s="1282"/>
      <c r="B3" s="1282"/>
      <c r="C3" s="1282"/>
      <c r="D3" s="1282"/>
      <c r="E3" s="2484"/>
      <c r="F3" s="2483">
        <v>1</v>
      </c>
      <c r="G3" s="1282"/>
      <c r="H3" s="1282"/>
      <c r="I3" s="1282"/>
      <c r="J3" s="1282"/>
      <c r="K3" s="1282"/>
      <c r="L3" s="1283"/>
      <c r="M3" s="1284"/>
      <c r="N3" s="1284"/>
      <c r="O3" s="1284"/>
      <c r="P3" s="1406"/>
      <c r="Q3" s="289"/>
      <c r="R3" s="290"/>
      <c r="S3" s="1412" t="e">
        <f>INDEX(PT_DIFFERENTIATION_NUM_TER,MATCH(B3,PT_DIFFERENTIATION_TER_ID,0))</f>
        <v>#N/A</v>
      </c>
      <c r="T3" s="245" t="s">
        <v>395</v>
      </c>
      <c r="U3" s="237"/>
      <c r="V3" s="2469"/>
      <c r="W3" s="2470"/>
      <c r="X3" s="2470"/>
      <c r="Y3" s="2470"/>
      <c r="Z3" s="2470"/>
      <c r="AA3" s="2470"/>
      <c r="AB3" s="2471"/>
      <c r="AC3" s="2469" t="e">
        <f>INDEX(PT_DIFFERENTIATION_TER,MATCH(B3,PT_DIFFERENTIATION_TER_ID,0))</f>
        <v>#N/A</v>
      </c>
      <c r="AD3" s="2470"/>
      <c r="AE3" s="2470"/>
      <c r="AF3" s="2470"/>
      <c r="AG3" s="2470"/>
      <c r="AH3" s="2470"/>
      <c r="AI3" s="2470"/>
      <c r="AJ3" s="2471"/>
      <c r="AK3" s="1177" t="s">
        <v>396</v>
      </c>
      <c r="AM3" s="437"/>
      <c r="AN3" s="437" t="str">
        <f t="shared" si="0"/>
        <v>Территория действия тарифа</v>
      </c>
      <c r="AO3" s="437"/>
      <c r="AP3" s="437"/>
      <c r="AQ3" s="1074">
        <v>0</v>
      </c>
    </row>
    <row r="4" spans="1:43" ht="23.25" hidden="1" customHeight="1">
      <c r="A4" s="1282"/>
      <c r="B4" s="1282"/>
      <c r="C4" s="1282"/>
      <c r="D4" s="1282"/>
      <c r="E4" s="2484"/>
      <c r="F4" s="2484"/>
      <c r="G4" s="2483">
        <v>1</v>
      </c>
      <c r="H4" s="1282"/>
      <c r="I4" s="1282"/>
      <c r="J4" s="1282"/>
      <c r="K4" s="1282"/>
      <c r="L4" s="1283"/>
      <c r="M4" s="1284"/>
      <c r="N4" s="1284"/>
      <c r="O4" s="1284"/>
      <c r="P4" s="291"/>
      <c r="Q4" s="289"/>
      <c r="R4" s="290"/>
      <c r="S4" s="1412" t="e">
        <f>INDEX(PT_DIFFERENTIATION_NUM_CS,MATCH(C4,PT_DIFFERENTIATION_CS_ID,0))</f>
        <v>#N/A</v>
      </c>
      <c r="T4" s="246" t="s">
        <v>514</v>
      </c>
      <c r="U4" s="237"/>
      <c r="V4" s="2469"/>
      <c r="W4" s="2470"/>
      <c r="X4" s="2470"/>
      <c r="Y4" s="2470"/>
      <c r="Z4" s="2470"/>
      <c r="AA4" s="2470"/>
      <c r="AB4" s="2471"/>
      <c r="AC4" s="2469" t="e">
        <f>INDEX(PT_DIFFERENTIATION_CS,MATCH(C4,PT_DIFFERENTIATION_CS_ID,0))</f>
        <v>#N/A</v>
      </c>
      <c r="AD4" s="2470"/>
      <c r="AE4" s="2470"/>
      <c r="AF4" s="2470"/>
      <c r="AG4" s="2470"/>
      <c r="AH4" s="2470"/>
      <c r="AI4" s="2470"/>
      <c r="AJ4" s="2471"/>
      <c r="AK4" s="1177" t="s">
        <v>515</v>
      </c>
      <c r="AM4" s="437"/>
      <c r="AN4" s="437" t="str">
        <f t="shared" si="0"/>
        <v>Наименование централизованной системы водоотведения</v>
      </c>
      <c r="AO4" s="437"/>
      <c r="AP4" s="437"/>
      <c r="AQ4" s="1074">
        <v>0</v>
      </c>
    </row>
    <row r="5" spans="1:43" ht="23.25" hidden="1" customHeight="1">
      <c r="A5" s="1282"/>
      <c r="B5" s="1282"/>
      <c r="C5" s="1282"/>
      <c r="D5" s="1282"/>
      <c r="E5" s="2484"/>
      <c r="F5" s="2484"/>
      <c r="G5" s="2484"/>
      <c r="H5" s="2484"/>
      <c r="I5" s="2481" t="e">
        <f>S4&amp;".1"</f>
        <v>#N/A</v>
      </c>
      <c r="J5" s="1282"/>
      <c r="K5" s="1282"/>
      <c r="L5" s="1283"/>
      <c r="P5" s="2482">
        <v>1</v>
      </c>
      <c r="Q5" s="1400"/>
      <c r="R5" s="293"/>
      <c r="S5" s="1412" t="e">
        <f>$I5</f>
        <v>#N/A</v>
      </c>
      <c r="T5" s="222" t="s">
        <v>481</v>
      </c>
      <c r="U5" s="237"/>
      <c r="V5" s="2550"/>
      <c r="W5" s="2551"/>
      <c r="X5" s="2551"/>
      <c r="Y5" s="2551"/>
      <c r="Z5" s="2551"/>
      <c r="AA5" s="2551"/>
      <c r="AB5" s="2552"/>
      <c r="AC5" s="2553"/>
      <c r="AD5" s="2554"/>
      <c r="AE5" s="2554"/>
      <c r="AF5" s="2554"/>
      <c r="AG5" s="2554"/>
      <c r="AH5" s="2554"/>
      <c r="AI5" s="2554"/>
      <c r="AJ5" s="2555"/>
      <c r="AK5" s="1177" t="s">
        <v>482</v>
      </c>
      <c r="AM5" s="437"/>
      <c r="AN5" s="437" t="str">
        <f t="shared" si="0"/>
        <v>Наименование признака дифференциации</v>
      </c>
      <c r="AO5" s="437"/>
      <c r="AP5" s="437"/>
      <c r="AQ5" s="1074">
        <v>0</v>
      </c>
    </row>
    <row r="6" spans="1:43" ht="23.25" hidden="1" customHeight="1">
      <c r="A6" s="1282"/>
      <c r="B6" s="1282"/>
      <c r="C6" s="1282"/>
      <c r="D6" s="1282"/>
      <c r="E6" s="2484"/>
      <c r="F6" s="2484"/>
      <c r="G6" s="2484"/>
      <c r="H6" s="2484"/>
      <c r="I6" s="2504"/>
      <c r="J6" s="2481" t="e">
        <f>I5&amp;".1"</f>
        <v>#N/A</v>
      </c>
      <c r="K6" s="1282"/>
      <c r="L6" s="1283" t="s">
        <v>404</v>
      </c>
      <c r="P6" s="2482"/>
      <c r="Q6" s="2482">
        <v>1</v>
      </c>
      <c r="R6" s="294"/>
      <c r="S6" s="1412" t="e">
        <f>$J6</f>
        <v>#N/A</v>
      </c>
      <c r="T6" s="223" t="s">
        <v>405</v>
      </c>
      <c r="U6" s="237"/>
      <c r="V6" s="2472"/>
      <c r="W6" s="2473"/>
      <c r="X6" s="2473"/>
      <c r="Y6" s="2473"/>
      <c r="Z6" s="2473"/>
      <c r="AA6" s="2473"/>
      <c r="AB6" s="2474"/>
      <c r="AC6" s="2472"/>
      <c r="AD6" s="2473"/>
      <c r="AE6" s="2473"/>
      <c r="AF6" s="2473"/>
      <c r="AG6" s="2473"/>
      <c r="AH6" s="2473"/>
      <c r="AI6" s="2473"/>
      <c r="AJ6" s="2474"/>
      <c r="AK6" s="1226" t="s">
        <v>483</v>
      </c>
      <c r="AM6" s="437"/>
      <c r="AN6" s="437" t="str">
        <f t="shared" si="0"/>
        <v>Группа потребителей</v>
      </c>
      <c r="AO6" s="437"/>
      <c r="AP6" s="437"/>
      <c r="AQ6" s="1074">
        <v>0</v>
      </c>
    </row>
    <row r="7" spans="1:43" ht="23.25" hidden="1" customHeight="1">
      <c r="A7" s="1282"/>
      <c r="B7" s="1282"/>
      <c r="C7" s="1282"/>
      <c r="D7" s="1282"/>
      <c r="E7" s="2484"/>
      <c r="F7" s="2484"/>
      <c r="G7" s="2484"/>
      <c r="H7" s="2484"/>
      <c r="I7" s="2504"/>
      <c r="J7" s="2504"/>
      <c r="K7" s="2481" t="e">
        <f>J6&amp;".1"</f>
        <v>#N/A</v>
      </c>
      <c r="L7" s="1283"/>
      <c r="P7" s="2482"/>
      <c r="Q7" s="2482"/>
      <c r="R7" s="294">
        <v>1</v>
      </c>
      <c r="S7" s="1412" t="e">
        <f>$K7</f>
        <v>#N/A</v>
      </c>
      <c r="T7" s="1356"/>
      <c r="U7" s="237"/>
      <c r="V7" s="688"/>
      <c r="W7" s="688"/>
      <c r="X7" s="1176"/>
      <c r="Y7" s="2486"/>
      <c r="Z7" s="2344" t="s">
        <v>64</v>
      </c>
      <c r="AA7" s="2486"/>
      <c r="AB7" s="2344" t="s">
        <v>64</v>
      </c>
      <c r="AC7" s="688"/>
      <c r="AD7" s="688"/>
      <c r="AE7" s="1176"/>
      <c r="AF7" s="2486"/>
      <c r="AG7" s="2344" t="s">
        <v>64</v>
      </c>
      <c r="AH7" s="2505"/>
      <c r="AI7" s="2344" t="s">
        <v>64</v>
      </c>
      <c r="AJ7" s="1357"/>
      <c r="AK7" s="25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4">
        <v>0</v>
      </c>
    </row>
    <row r="8" spans="1:43" ht="14.25" hidden="1" customHeight="1">
      <c r="A8" s="1282"/>
      <c r="B8" s="1282"/>
      <c r="C8" s="1282"/>
      <c r="D8" s="1282"/>
      <c r="E8" s="2484"/>
      <c r="F8" s="2484"/>
      <c r="G8" s="2484"/>
      <c r="H8" s="2484"/>
      <c r="I8" s="2504"/>
      <c r="J8" s="2504"/>
      <c r="K8" s="2481"/>
      <c r="L8" s="1283"/>
      <c r="P8" s="2482"/>
      <c r="Q8" s="2482"/>
      <c r="R8" s="294"/>
      <c r="S8" s="1409"/>
      <c r="T8" s="237"/>
      <c r="U8" s="237"/>
      <c r="V8" s="262"/>
      <c r="W8" s="262"/>
      <c r="X8" s="265" t="str">
        <f>Y7&amp;"-"&amp;AA7</f>
        <v>-</v>
      </c>
      <c r="Y8" s="2487"/>
      <c r="Z8" s="2344"/>
      <c r="AA8" s="2487"/>
      <c r="AB8" s="2344"/>
      <c r="AC8" s="262"/>
      <c r="AD8" s="262"/>
      <c r="AE8" s="265" t="str">
        <f>AF7&amp;"-"&amp;AH7</f>
        <v>-</v>
      </c>
      <c r="AF8" s="2487"/>
      <c r="AG8" s="2344"/>
      <c r="AH8" s="2506"/>
      <c r="AI8" s="2344"/>
      <c r="AJ8" s="1358"/>
      <c r="AK8" s="2549"/>
      <c r="AM8" s="437"/>
      <c r="AN8" s="437" t="str">
        <f t="shared" si="0"/>
        <v/>
      </c>
      <c r="AO8" s="437"/>
      <c r="AP8" s="437"/>
      <c r="AQ8" s="1074">
        <v>0</v>
      </c>
    </row>
    <row r="9" spans="1:43" ht="21" hidden="1" customHeight="1">
      <c r="A9" s="1282"/>
      <c r="B9" s="1282"/>
      <c r="C9" s="1282"/>
      <c r="D9" s="1282"/>
      <c r="E9" s="2484"/>
      <c r="F9" s="2484"/>
      <c r="G9" s="2484"/>
      <c r="H9" s="2484"/>
      <c r="I9" s="2504"/>
      <c r="J9" s="2481"/>
      <c r="K9" s="1282"/>
      <c r="L9" s="1283"/>
      <c r="P9" s="2482"/>
      <c r="Q9" s="2482"/>
      <c r="R9" s="293"/>
      <c r="S9" s="1197"/>
      <c r="T9" s="224" t="s">
        <v>484</v>
      </c>
      <c r="U9" s="304"/>
      <c r="V9" s="304"/>
      <c r="W9" s="304"/>
      <c r="X9" s="304"/>
      <c r="Y9" s="304"/>
      <c r="Z9" s="304"/>
      <c r="AA9" s="304"/>
      <c r="AB9" s="304"/>
      <c r="AC9" s="304"/>
      <c r="AD9" s="304"/>
      <c r="AE9" s="304"/>
      <c r="AF9" s="304"/>
      <c r="AG9" s="304"/>
      <c r="AH9" s="304"/>
      <c r="AI9" s="304"/>
      <c r="AJ9" s="304"/>
      <c r="AK9" s="1177" t="s">
        <v>485</v>
      </c>
      <c r="AM9" s="437"/>
      <c r="AN9" s="437" t="str">
        <f t="shared" si="0"/>
        <v>Добавить значение признака дифференциации</v>
      </c>
      <c r="AO9" s="437"/>
      <c r="AP9" s="437"/>
      <c r="AQ9" s="1074">
        <v>0</v>
      </c>
    </row>
    <row r="10" spans="1:43" ht="21" hidden="1" customHeight="1">
      <c r="A10" s="1282"/>
      <c r="B10" s="1282"/>
      <c r="C10" s="1282"/>
      <c r="D10" s="1282"/>
      <c r="E10" s="2484"/>
      <c r="F10" s="2484"/>
      <c r="G10" s="2484"/>
      <c r="H10" s="2484"/>
      <c r="I10" s="2481"/>
      <c r="J10" s="1282"/>
      <c r="K10" s="1282"/>
      <c r="L10" s="1283"/>
      <c r="P10" s="2482"/>
      <c r="Q10" s="1400"/>
      <c r="R10" s="293"/>
      <c r="S10" s="1197"/>
      <c r="T10" s="302" t="s">
        <v>410</v>
      </c>
      <c r="U10" s="304"/>
      <c r="V10" s="304"/>
      <c r="W10" s="304"/>
      <c r="X10" s="304"/>
      <c r="Y10" s="304"/>
      <c r="Z10" s="304"/>
      <c r="AA10" s="304"/>
      <c r="AB10" s="303"/>
      <c r="AC10" s="304"/>
      <c r="AD10" s="304"/>
      <c r="AE10" s="304"/>
      <c r="AF10" s="304"/>
      <c r="AG10" s="304"/>
      <c r="AH10" s="304"/>
      <c r="AI10" s="303"/>
      <c r="AJ10" s="304"/>
      <c r="AK10" s="1359"/>
      <c r="AM10" s="437"/>
      <c r="AN10" s="437" t="str">
        <f t="shared" si="0"/>
        <v>Добавить группу потребителей</v>
      </c>
      <c r="AO10" s="437"/>
      <c r="AP10" s="437"/>
      <c r="AQ10" s="1074">
        <v>0</v>
      </c>
    </row>
    <row r="11" spans="1:43" ht="21" hidden="1" customHeight="1">
      <c r="A11" s="1282"/>
      <c r="B11" s="1282"/>
      <c r="C11" s="1282"/>
      <c r="D11" s="1282"/>
      <c r="E11" s="2484"/>
      <c r="F11" s="2484"/>
      <c r="G11" s="2484"/>
      <c r="H11" s="2483"/>
      <c r="I11" s="1282"/>
      <c r="J11" s="1282"/>
      <c r="K11" s="1282"/>
      <c r="L11" s="1283"/>
      <c r="M11" s="1284"/>
      <c r="N11" s="1284"/>
      <c r="O11" s="474"/>
      <c r="P11" s="297"/>
      <c r="Q11" s="312"/>
      <c r="R11" s="292"/>
      <c r="S11" s="1197"/>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74">
        <v>0</v>
      </c>
    </row>
    <row r="12" spans="1:43" s="2245" customFormat="1" ht="14.25" hidden="1" customHeight="1">
      <c r="A12" s="1262"/>
      <c r="B12" s="1262"/>
      <c r="C12" s="1233"/>
      <c r="D12" s="1233"/>
      <c r="E12" s="2484"/>
      <c r="F12" s="2483"/>
      <c r="G12" s="1233"/>
      <c r="H12" s="1233"/>
      <c r="I12" s="1233"/>
      <c r="J12" s="1233"/>
      <c r="K12" s="1233"/>
      <c r="L12" s="1413"/>
      <c r="M12" s="1240"/>
      <c r="N12" s="1240"/>
      <c r="P12" s="1235"/>
      <c r="Q12" s="1236"/>
      <c r="R12" s="1235"/>
      <c r="S12" s="1241"/>
      <c r="T12" s="1244" t="s">
        <v>413</v>
      </c>
      <c r="U12" s="1243"/>
      <c r="V12" s="1243"/>
      <c r="W12" s="1243"/>
      <c r="X12" s="1243"/>
      <c r="Y12" s="1243"/>
      <c r="Z12" s="1243"/>
      <c r="AA12" s="1243"/>
      <c r="AB12" s="1243"/>
      <c r="AC12" s="1243"/>
      <c r="AD12" s="1243"/>
      <c r="AE12" s="1243"/>
      <c r="AF12" s="1243"/>
      <c r="AG12" s="1243"/>
      <c r="AH12" s="1243"/>
      <c r="AI12" s="1243"/>
      <c r="AJ12" s="1243"/>
      <c r="AK12" s="1243"/>
      <c r="AM12" s="720"/>
      <c r="AN12" s="720" t="str">
        <f t="shared" si="0"/>
        <v>Добавить централизованную систему для дифференциации</v>
      </c>
      <c r="AO12" s="720"/>
      <c r="AP12" s="720"/>
      <c r="AQ12" s="455">
        <v>0</v>
      </c>
    </row>
    <row r="13" spans="1:43" s="2245" customFormat="1" ht="14.25" hidden="1" customHeight="1">
      <c r="A13" s="1262"/>
      <c r="B13" s="1262"/>
      <c r="C13" s="1262"/>
      <c r="D13" s="1262"/>
      <c r="E13" s="2483"/>
      <c r="F13" s="1262"/>
      <c r="G13" s="1262"/>
      <c r="H13" s="1262"/>
      <c r="I13" s="1262"/>
      <c r="J13" s="1262"/>
      <c r="K13" s="1262"/>
      <c r="L13" s="1265"/>
      <c r="M13" s="1240"/>
      <c r="N13" s="1240"/>
      <c r="O13" s="455"/>
      <c r="P13" s="317"/>
      <c r="Q13" s="1263"/>
      <c r="R13" s="317"/>
      <c r="S13" s="1241"/>
      <c r="T13" s="1244" t="s">
        <v>414</v>
      </c>
      <c r="U13" s="1243"/>
      <c r="V13" s="1243"/>
      <c r="W13" s="1243"/>
      <c r="X13" s="1243"/>
      <c r="Y13" s="1243"/>
      <c r="Z13" s="1243"/>
      <c r="AA13" s="1243"/>
      <c r="AB13" s="1243"/>
      <c r="AC13" s="1243"/>
      <c r="AD13" s="1243"/>
      <c r="AE13" s="1243"/>
      <c r="AF13" s="1243"/>
      <c r="AG13" s="1243"/>
      <c r="AH13" s="1243"/>
      <c r="AI13" s="1243"/>
      <c r="AJ13" s="1243"/>
      <c r="AK13" s="1243"/>
      <c r="AM13" s="437"/>
      <c r="AN13" s="437" t="str">
        <f t="shared" si="0"/>
        <v>Добавить территорию для дифференциации</v>
      </c>
      <c r="AO13" s="437"/>
      <c r="AP13" s="437"/>
      <c r="AQ13" s="448">
        <v>0</v>
      </c>
    </row>
    <row r="14" spans="1:43" ht="14.25" hidden="1" customHeight="1">
      <c r="AB14" s="264"/>
      <c r="AI14" s="264"/>
      <c r="AQ14" s="1074">
        <v>0</v>
      </c>
    </row>
    <row r="15" spans="1:43" ht="14.25" hidden="1" customHeight="1">
      <c r="AC15" s="1279"/>
      <c r="AD15" s="1279"/>
      <c r="AE15" s="1280"/>
      <c r="AF15" s="2488"/>
      <c r="AG15" s="2489" t="s">
        <v>64</v>
      </c>
      <c r="AH15" s="2488"/>
      <c r="AI15" s="2489" t="s">
        <v>64</v>
      </c>
      <c r="AQ15" s="1074">
        <v>0</v>
      </c>
    </row>
    <row r="16" spans="1:43" ht="14.25" hidden="1" customHeight="1">
      <c r="AC16" s="1279"/>
      <c r="AD16" s="1279"/>
      <c r="AE16" s="265" t="str">
        <f>AF15&amp;"-"&amp;AH15</f>
        <v>-</v>
      </c>
      <c r="AF16" s="2489"/>
      <c r="AG16" s="2489"/>
      <c r="AH16" s="2489"/>
      <c r="AI16" s="2489"/>
      <c r="AQ16" s="1074">
        <v>0</v>
      </c>
    </row>
    <row r="17" spans="1:43" ht="14.25" hidden="1" customHeight="1">
      <c r="AI17" s="264"/>
      <c r="AQ17" s="1074">
        <v>0</v>
      </c>
    </row>
    <row r="18" spans="1:43" s="2244" customFormat="1" ht="22.5" hidden="1" customHeight="1">
      <c r="L18" s="1397"/>
      <c r="M18" s="1281"/>
      <c r="N18" s="1281"/>
      <c r="O18" s="1286" t="s">
        <v>415</v>
      </c>
      <c r="P18" s="1281"/>
      <c r="Q18" s="1290"/>
      <c r="R18" s="1290"/>
      <c r="S18" s="666"/>
      <c r="Y18" s="1286"/>
      <c r="AA18" s="1286"/>
      <c r="AB18" s="1285"/>
      <c r="AF18" s="1286"/>
      <c r="AH18" s="1286"/>
      <c r="AI18" s="1285"/>
      <c r="AL18" s="448"/>
      <c r="AM18" s="448"/>
      <c r="AN18" s="448"/>
      <c r="AO18" s="448"/>
      <c r="AP18" s="448"/>
      <c r="AQ18" s="1079">
        <v>0</v>
      </c>
    </row>
    <row r="19" spans="1:43" s="2244" customFormat="1" ht="14.25" hidden="1" customHeight="1">
      <c r="L19" s="1397"/>
      <c r="M19" s="1281"/>
      <c r="N19" s="1281"/>
      <c r="O19" s="1281"/>
      <c r="P19" s="1281"/>
      <c r="Q19" s="1290"/>
      <c r="R19" s="1290"/>
      <c r="S19" s="666"/>
      <c r="AB19" s="1285"/>
      <c r="AI19" s="1285"/>
      <c r="AL19" s="448"/>
      <c r="AM19" s="448"/>
      <c r="AN19" s="448"/>
      <c r="AO19" s="448"/>
      <c r="AP19" s="448"/>
      <c r="AQ19" s="1079">
        <v>0</v>
      </c>
    </row>
    <row r="20" spans="1:43" s="2244" customFormat="1" ht="12" hidden="1" customHeight="1">
      <c r="L20" s="1397"/>
      <c r="M20" s="1281"/>
      <c r="N20" s="1281"/>
      <c r="O20" s="1283" t="s">
        <v>416</v>
      </c>
      <c r="P20" s="1281"/>
      <c r="Q20" s="1361"/>
      <c r="R20" s="1361"/>
      <c r="S20" s="666"/>
      <c r="T20" s="1079" t="s">
        <v>417</v>
      </c>
      <c r="Z20" s="123" t="s">
        <v>418</v>
      </c>
      <c r="AB20" s="123" t="s">
        <v>419</v>
      </c>
      <c r="AC20" s="1079" t="s">
        <v>417</v>
      </c>
      <c r="AG20" s="123" t="s">
        <v>420</v>
      </c>
      <c r="AI20" s="123" t="s">
        <v>419</v>
      </c>
      <c r="AQ20" s="1079">
        <v>0</v>
      </c>
    </row>
    <row r="21" spans="1:43" ht="14.25" hidden="1" customHeight="1">
      <c r="O21" s="1283"/>
      <c r="AQ21" s="1074">
        <v>0</v>
      </c>
    </row>
    <row r="22" spans="1:43" ht="14.25" hidden="1" customHeight="1">
      <c r="O22" s="1283"/>
      <c r="AQ22" s="1074">
        <v>0</v>
      </c>
    </row>
    <row r="23" spans="1:43" ht="14.65" customHeight="1">
      <c r="Q23" s="313"/>
      <c r="R23" s="313"/>
      <c r="S23" s="1194"/>
      <c r="T23" s="300"/>
      <c r="U23" s="300"/>
      <c r="V23" s="446"/>
      <c r="W23" s="446"/>
      <c r="X23" s="446"/>
      <c r="Y23" s="446"/>
      <c r="Z23" s="446"/>
      <c r="AA23" s="446"/>
      <c r="AB23" s="446"/>
      <c r="AC23" s="446"/>
      <c r="AD23" s="446"/>
      <c r="AE23" s="446"/>
      <c r="AF23" s="446"/>
      <c r="AG23" s="446"/>
      <c r="AH23" s="446"/>
      <c r="AI23" s="446"/>
      <c r="AQ23" s="1074">
        <v>14</v>
      </c>
    </row>
    <row r="24" spans="1:43" ht="14.65" customHeight="1">
      <c r="Q24" s="313"/>
      <c r="R24" s="313"/>
      <c r="S24" s="246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67"/>
      <c r="U24" s="2467"/>
      <c r="V24" s="2467"/>
      <c r="W24" s="2467"/>
      <c r="X24" s="2467"/>
      <c r="Y24" s="2467"/>
      <c r="Z24" s="2467"/>
      <c r="AA24" s="2467"/>
      <c r="AB24" s="2467"/>
      <c r="AC24" s="2467"/>
      <c r="AD24" s="2467"/>
      <c r="AE24" s="2467"/>
      <c r="AF24" s="2467"/>
      <c r="AG24" s="2467"/>
      <c r="AH24" s="2467"/>
      <c r="AI24" s="1162"/>
      <c r="AQ24" s="1074">
        <v>14</v>
      </c>
    </row>
    <row r="25" spans="1:43" ht="14.65" customHeight="1">
      <c r="Q25" s="313"/>
      <c r="R25" s="313"/>
      <c r="S25" s="2412" t="str">
        <f>IF(org=0,"Не определено",org)</f>
        <v>МУП "Водоканал"</v>
      </c>
      <c r="T25" s="2412"/>
      <c r="U25" s="2412"/>
      <c r="V25" s="2412"/>
      <c r="W25" s="2412"/>
      <c r="X25" s="2412"/>
      <c r="Y25" s="2412"/>
      <c r="Z25" s="2412"/>
      <c r="AA25" s="2412"/>
      <c r="AB25" s="2412"/>
      <c r="AC25" s="2412"/>
      <c r="AD25" s="2412"/>
      <c r="AE25" s="2412"/>
      <c r="AF25" s="2412"/>
      <c r="AG25" s="2412"/>
      <c r="AH25" s="2412"/>
      <c r="AI25" s="1162"/>
      <c r="AQ25" s="1074">
        <v>14</v>
      </c>
    </row>
    <row r="26" spans="1:43" ht="14.25" hidden="1" customHeight="1">
      <c r="Q26" s="313"/>
      <c r="R26" s="313"/>
      <c r="S26" s="1194"/>
      <c r="T26" s="300"/>
      <c r="U26" s="300"/>
      <c r="V26" s="259"/>
      <c r="W26" s="259"/>
      <c r="X26" s="259"/>
      <c r="Y26" s="259"/>
      <c r="Z26" s="259"/>
      <c r="AA26" s="259"/>
      <c r="AB26" s="259"/>
      <c r="AC26" s="259"/>
      <c r="AD26" s="259"/>
      <c r="AE26" s="259"/>
      <c r="AF26" s="259"/>
      <c r="AG26" s="259"/>
      <c r="AH26" s="259"/>
      <c r="AI26" s="259"/>
      <c r="AJ26" s="446"/>
      <c r="AQ26" s="1074">
        <v>0</v>
      </c>
    </row>
    <row r="27" spans="1:43" s="2254" customFormat="1" ht="25.5" hidden="1" customHeight="1">
      <c r="A27" s="1287"/>
      <c r="B27" s="1287"/>
      <c r="C27" s="1287"/>
      <c r="D27" s="1287"/>
      <c r="E27" s="1287"/>
      <c r="F27" s="1287"/>
      <c r="G27" s="1287"/>
      <c r="H27" s="1287"/>
      <c r="I27" s="1287"/>
      <c r="J27" s="1287"/>
      <c r="K27" s="1287"/>
      <c r="L27" s="1288"/>
      <c r="M27" s="1287"/>
      <c r="N27" s="1287"/>
      <c r="O27" s="1287"/>
      <c r="S27" s="2475" t="s">
        <v>41</v>
      </c>
      <c r="T27" s="2475"/>
      <c r="U27" s="1291"/>
      <c r="V27" s="2476" t="str">
        <f>IF(TITLE_NAME_OR_PR_CHANGE="",IF(TITLE_NAME_OR_PR="","",TITLE_NAME_OR_PR),TITLE_NAME_OR_PR_CHANGE)</f>
        <v/>
      </c>
      <c r="W27" s="2476"/>
      <c r="X27" s="2476"/>
      <c r="Y27" s="2476"/>
      <c r="Z27" s="2476"/>
      <c r="AA27" s="2476"/>
      <c r="AB27" s="263"/>
      <c r="AC27" s="2476" t="str">
        <f>IF(TITLE_NAME_OR_PR_CHANGE="",IF(TITLE_NAME_OR_PR="","",TITLE_NAME_OR_PR),TITLE_NAME_OR_PR_CHANGE)</f>
        <v/>
      </c>
      <c r="AD27" s="2476"/>
      <c r="AE27" s="2476"/>
      <c r="AF27" s="2476"/>
      <c r="AG27" s="2476"/>
      <c r="AH27" s="2476"/>
      <c r="AI27" s="263"/>
      <c r="AJ27" s="263"/>
      <c r="AK27" s="217"/>
      <c r="AL27" s="305"/>
      <c r="AM27" s="305"/>
      <c r="AN27" s="305"/>
      <c r="AO27" s="305"/>
      <c r="AP27" s="305"/>
      <c r="AQ27" s="355">
        <v>0</v>
      </c>
    </row>
    <row r="28" spans="1:43" s="2254" customFormat="1" ht="18.75" hidden="1" customHeight="1">
      <c r="A28" s="1287"/>
      <c r="B28" s="1287"/>
      <c r="C28" s="1287"/>
      <c r="D28" s="1287"/>
      <c r="E28" s="1287"/>
      <c r="F28" s="1287"/>
      <c r="G28" s="1287"/>
      <c r="H28" s="1287"/>
      <c r="I28" s="1287"/>
      <c r="J28" s="1287"/>
      <c r="K28" s="1287"/>
      <c r="L28" s="1288"/>
      <c r="M28" s="1287"/>
      <c r="N28" s="1287"/>
      <c r="O28" s="1287"/>
      <c r="S28" s="2475" t="s">
        <v>421</v>
      </c>
      <c r="T28" s="2475"/>
      <c r="U28" s="1291"/>
      <c r="V28" s="2485" t="str">
        <f>IF(TITLE_DATE_PR_CHANGE="",IF(TITLE_DATE_PR="","",TITLE_DATE_PR),TITLE_DATE_PR_CHANGE)</f>
        <v/>
      </c>
      <c r="W28" s="2485"/>
      <c r="X28" s="2485"/>
      <c r="Y28" s="2485"/>
      <c r="Z28" s="2485"/>
      <c r="AA28" s="2485"/>
      <c r="AB28" s="263"/>
      <c r="AC28" s="2485" t="str">
        <f>IF(TITLE_DATE_PR_CHANGE="",IF(TITLE_DATE_PR="","",TITLE_DATE_PR),TITLE_DATE_PR_CHANGE)</f>
        <v/>
      </c>
      <c r="AD28" s="2485"/>
      <c r="AE28" s="2485"/>
      <c r="AF28" s="2485"/>
      <c r="AG28" s="2485"/>
      <c r="AH28" s="2485"/>
      <c r="AI28" s="263"/>
      <c r="AJ28" s="263"/>
      <c r="AK28" s="217"/>
      <c r="AL28" s="305"/>
      <c r="AM28" s="305"/>
      <c r="AN28" s="305"/>
      <c r="AO28" s="305"/>
      <c r="AP28" s="305"/>
      <c r="AQ28" s="355">
        <v>0</v>
      </c>
    </row>
    <row r="29" spans="1:43" s="2254" customFormat="1" ht="18.75" hidden="1" customHeight="1">
      <c r="A29" s="1287"/>
      <c r="B29" s="1287"/>
      <c r="C29" s="1287"/>
      <c r="D29" s="1287"/>
      <c r="E29" s="1287"/>
      <c r="F29" s="1287"/>
      <c r="G29" s="1287"/>
      <c r="H29" s="1287"/>
      <c r="I29" s="1287"/>
      <c r="J29" s="1287"/>
      <c r="K29" s="1287"/>
      <c r="L29" s="1288"/>
      <c r="M29" s="1287"/>
      <c r="N29" s="1287"/>
      <c r="O29" s="1287"/>
      <c r="S29" s="2475" t="s">
        <v>422</v>
      </c>
      <c r="T29" s="2475"/>
      <c r="U29" s="1291"/>
      <c r="V29" s="2476" t="str">
        <f>IF(TITLE_NUMBER_PR_CHANGE="",IF(TITLE_NUMBER_PR="","",TITLE_NUMBER_PR),TITLE_NUMBER_PR_CHANGE)</f>
        <v/>
      </c>
      <c r="W29" s="2476"/>
      <c r="X29" s="2476"/>
      <c r="Y29" s="2476"/>
      <c r="Z29" s="2476"/>
      <c r="AA29" s="2476"/>
      <c r="AB29" s="263"/>
      <c r="AC29" s="2476" t="str">
        <f>IF(TITLE_NUMBER_PR_CHANGE="",IF(TITLE_NUMBER_PR="","",TITLE_NUMBER_PR),TITLE_NUMBER_PR_CHANGE)</f>
        <v/>
      </c>
      <c r="AD29" s="2476"/>
      <c r="AE29" s="2476"/>
      <c r="AF29" s="2476"/>
      <c r="AG29" s="2476"/>
      <c r="AH29" s="2476"/>
      <c r="AI29" s="263"/>
      <c r="AJ29" s="263"/>
      <c r="AK29" s="217"/>
      <c r="AL29" s="305"/>
      <c r="AM29" s="305"/>
      <c r="AN29" s="305"/>
      <c r="AO29" s="305"/>
      <c r="AP29" s="305"/>
      <c r="AQ29" s="355">
        <v>0</v>
      </c>
    </row>
    <row r="30" spans="1:43" s="2254" customFormat="1" ht="18.75" hidden="1" customHeight="1">
      <c r="A30" s="1287"/>
      <c r="B30" s="1287"/>
      <c r="C30" s="1287"/>
      <c r="D30" s="1287"/>
      <c r="E30" s="1287"/>
      <c r="F30" s="1287"/>
      <c r="G30" s="1287"/>
      <c r="H30" s="1287"/>
      <c r="I30" s="1287"/>
      <c r="J30" s="1287"/>
      <c r="K30" s="1287"/>
      <c r="L30" s="1288"/>
      <c r="M30" s="1287"/>
      <c r="N30" s="1287"/>
      <c r="O30" s="1287"/>
      <c r="S30" s="2475" t="s">
        <v>42</v>
      </c>
      <c r="T30" s="2475"/>
      <c r="U30" s="1291"/>
      <c r="V30" s="2476" t="str">
        <f>IF(TITLE_IST_PUB_CHANGE="",IF(TITLE_IST_PUB="","",TITLE_IST_PUB),TITLE_IST_PUB_CHANGE)</f>
        <v/>
      </c>
      <c r="W30" s="2476"/>
      <c r="X30" s="2476"/>
      <c r="Y30" s="2476"/>
      <c r="Z30" s="2476"/>
      <c r="AA30" s="2476"/>
      <c r="AB30" s="263"/>
      <c r="AC30" s="2476" t="str">
        <f>IF(TITLE_IST_PUB_CHANGE="",IF(TITLE_IST_PUB="","",TITLE_IST_PUB),TITLE_IST_PUB_CHANGE)</f>
        <v/>
      </c>
      <c r="AD30" s="2476"/>
      <c r="AE30" s="2476"/>
      <c r="AF30" s="2476"/>
      <c r="AG30" s="2476"/>
      <c r="AH30" s="2476"/>
      <c r="AI30" s="263"/>
      <c r="AJ30" s="263"/>
      <c r="AK30" s="217"/>
      <c r="AL30" s="305"/>
      <c r="AM30" s="305"/>
      <c r="AN30" s="305"/>
      <c r="AO30" s="305"/>
      <c r="AP30" s="305"/>
      <c r="AQ30" s="355">
        <v>0</v>
      </c>
    </row>
    <row r="31" spans="1:43" ht="14.25" hidden="1" customHeight="1">
      <c r="Q31" s="313"/>
      <c r="R31" s="313"/>
      <c r="S31" s="1194"/>
      <c r="T31" s="300"/>
      <c r="U31" s="300"/>
      <c r="V31" s="259"/>
      <c r="W31" s="259"/>
      <c r="X31" s="259"/>
      <c r="Y31" s="259"/>
      <c r="Z31" s="259"/>
      <c r="AA31" s="259"/>
      <c r="AB31" s="259"/>
      <c r="AC31" s="259"/>
      <c r="AD31" s="259"/>
      <c r="AE31" s="259"/>
      <c r="AF31" s="259"/>
      <c r="AG31" s="259"/>
      <c r="AH31" s="259"/>
      <c r="AI31" s="259"/>
      <c r="AJ31" s="446"/>
      <c r="AQ31" s="1074">
        <v>0</v>
      </c>
    </row>
    <row r="32" spans="1:43" s="2254" customFormat="1" ht="18.75" hidden="1" customHeight="1">
      <c r="A32" s="1287"/>
      <c r="B32" s="1287"/>
      <c r="C32" s="1287"/>
      <c r="D32" s="1287"/>
      <c r="E32" s="1287"/>
      <c r="F32" s="1287"/>
      <c r="G32" s="1287"/>
      <c r="H32" s="1287"/>
      <c r="I32" s="1287"/>
      <c r="J32" s="1287"/>
      <c r="K32" s="1287"/>
      <c r="L32" s="1288"/>
      <c r="M32" s="1287"/>
      <c r="N32" s="1287"/>
      <c r="O32" s="1287"/>
      <c r="S32" s="2475" t="s">
        <v>423</v>
      </c>
      <c r="T32" s="2475"/>
      <c r="U32" s="1291"/>
      <c r="V32" s="2485" t="str">
        <f>IF(TITLE_DATE_PR_CHANGE="",IF(TITLE_DATE_PR="","",TITLE_DATE_PR),TITLE_DATE_PR_CHANGE)</f>
        <v/>
      </c>
      <c r="W32" s="2485"/>
      <c r="X32" s="2485"/>
      <c r="Y32" s="2485"/>
      <c r="Z32" s="2485"/>
      <c r="AA32" s="2485"/>
      <c r="AB32" s="263"/>
      <c r="AC32" s="2485" t="str">
        <f>IF(TITLE_DATE_PR_CHANGE="",IF(TITLE_DATE_PR="","",TITLE_DATE_PR),TITLE_DATE_PR_CHANGE)</f>
        <v/>
      </c>
      <c r="AD32" s="2485"/>
      <c r="AE32" s="2485"/>
      <c r="AF32" s="2485"/>
      <c r="AG32" s="2485"/>
      <c r="AH32" s="2485"/>
      <c r="AI32" s="263"/>
      <c r="AJ32" s="263"/>
      <c r="AK32" s="217"/>
      <c r="AL32" s="305"/>
      <c r="AM32" s="305"/>
      <c r="AN32" s="305"/>
      <c r="AO32" s="305"/>
      <c r="AP32" s="305"/>
      <c r="AQ32" s="355">
        <v>0</v>
      </c>
    </row>
    <row r="33" spans="1:43" s="2254" customFormat="1" ht="18.75" hidden="1" customHeight="1">
      <c r="A33" s="1287"/>
      <c r="B33" s="1287"/>
      <c r="C33" s="1287"/>
      <c r="D33" s="1287"/>
      <c r="E33" s="1287"/>
      <c r="F33" s="1287"/>
      <c r="G33" s="1287"/>
      <c r="H33" s="1287"/>
      <c r="I33" s="1287"/>
      <c r="J33" s="1287"/>
      <c r="K33" s="1287"/>
      <c r="L33" s="1288"/>
      <c r="M33" s="1287"/>
      <c r="N33" s="1287"/>
      <c r="O33" s="1287"/>
      <c r="S33" s="2475" t="s">
        <v>424</v>
      </c>
      <c r="T33" s="2475"/>
      <c r="U33" s="1291"/>
      <c r="V33" s="2476" t="str">
        <f>IF(TITLE_NUMBER_PR_CHANGE="",IF(TITLE_NUMBER_PR="","",TITLE_NUMBER_PR),TITLE_NUMBER_PR_CHANGE)</f>
        <v/>
      </c>
      <c r="W33" s="2476"/>
      <c r="X33" s="2476"/>
      <c r="Y33" s="2476"/>
      <c r="Z33" s="2476"/>
      <c r="AA33" s="2476"/>
      <c r="AB33" s="263"/>
      <c r="AC33" s="2476" t="str">
        <f>IF(TITLE_NUMBER_PR_CHANGE="",IF(TITLE_NUMBER_PR="","",TITLE_NUMBER_PR),TITLE_NUMBER_PR_CHANGE)</f>
        <v/>
      </c>
      <c r="AD33" s="2476"/>
      <c r="AE33" s="2476"/>
      <c r="AF33" s="2476"/>
      <c r="AG33" s="2476"/>
      <c r="AH33" s="2476"/>
      <c r="AI33" s="263"/>
      <c r="AJ33" s="263"/>
      <c r="AK33" s="217"/>
      <c r="AL33" s="305"/>
      <c r="AM33" s="305"/>
      <c r="AN33" s="305"/>
      <c r="AO33" s="305"/>
      <c r="AP33" s="305"/>
      <c r="AQ33" s="355">
        <v>0</v>
      </c>
    </row>
    <row r="34" spans="1:43" s="2254"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194"/>
      <c r="T35" s="300"/>
      <c r="U35" s="1163"/>
      <c r="V35" s="2477"/>
      <c r="W35" s="2477"/>
      <c r="X35" s="2477"/>
      <c r="Y35" s="2477"/>
      <c r="Z35" s="2477"/>
      <c r="AA35" s="2477"/>
      <c r="AB35" s="2477"/>
      <c r="AC35" s="2477"/>
      <c r="AD35" s="2477"/>
      <c r="AE35" s="2477"/>
      <c r="AF35" s="2477"/>
      <c r="AG35" s="2477"/>
      <c r="AH35" s="2477"/>
      <c r="AI35" s="2477"/>
      <c r="AQ35" s="1074">
        <v>14</v>
      </c>
    </row>
    <row r="36" spans="1:43" ht="14.65" customHeight="1">
      <c r="Q36" s="313"/>
      <c r="R36" s="313"/>
      <c r="S36" s="2363" t="s">
        <v>298</v>
      </c>
      <c r="T36" s="2363"/>
      <c r="U36" s="2363"/>
      <c r="V36" s="2363"/>
      <c r="W36" s="2363"/>
      <c r="X36" s="2363"/>
      <c r="Y36" s="2363"/>
      <c r="Z36" s="2363"/>
      <c r="AA36" s="2363"/>
      <c r="AB36" s="2363"/>
      <c r="AC36" s="2363"/>
      <c r="AD36" s="2363"/>
      <c r="AE36" s="2363"/>
      <c r="AF36" s="2363"/>
      <c r="AG36" s="2363"/>
      <c r="AH36" s="2363"/>
      <c r="AI36" s="2363"/>
      <c r="AJ36" s="2363"/>
      <c r="AK36" s="2363" t="s">
        <v>299</v>
      </c>
      <c r="AQ36" s="1074">
        <v>14</v>
      </c>
    </row>
    <row r="37" spans="1:43" ht="14.65" customHeight="1">
      <c r="Q37" s="313"/>
      <c r="R37" s="313"/>
      <c r="S37" s="2491" t="s">
        <v>87</v>
      </c>
      <c r="T37" s="2442" t="s">
        <v>426</v>
      </c>
      <c r="U37" s="238"/>
      <c r="V37" s="2492" t="s">
        <v>427</v>
      </c>
      <c r="W37" s="2493"/>
      <c r="X37" s="2493"/>
      <c r="Y37" s="2493"/>
      <c r="Z37" s="2493"/>
      <c r="AA37" s="2494"/>
      <c r="AB37" s="2495" t="s">
        <v>428</v>
      </c>
      <c r="AC37" s="2492" t="s">
        <v>427</v>
      </c>
      <c r="AD37" s="2493"/>
      <c r="AE37" s="2493"/>
      <c r="AF37" s="2493"/>
      <c r="AG37" s="2493"/>
      <c r="AH37" s="2494"/>
      <c r="AI37" s="2495" t="s">
        <v>429</v>
      </c>
      <c r="AJ37" s="2498" t="s">
        <v>430</v>
      </c>
      <c r="AK37" s="2363"/>
      <c r="AQ37" s="1074">
        <v>14</v>
      </c>
    </row>
    <row r="38" spans="1:43" ht="35.65" customHeight="1">
      <c r="Q38" s="313"/>
      <c r="R38" s="313"/>
      <c r="S38" s="2491"/>
      <c r="T38" s="2442"/>
      <c r="U38" s="955"/>
      <c r="V38" s="1402" t="s">
        <v>487</v>
      </c>
      <c r="W38" s="2335" t="s">
        <v>433</v>
      </c>
      <c r="X38" s="2334"/>
      <c r="Y38" s="2335" t="s">
        <v>434</v>
      </c>
      <c r="Z38" s="2340"/>
      <c r="AA38" s="2334"/>
      <c r="AB38" s="2496"/>
      <c r="AC38" s="1402" t="s">
        <v>487</v>
      </c>
      <c r="AD38" s="2335" t="s">
        <v>433</v>
      </c>
      <c r="AE38" s="2334"/>
      <c r="AF38" s="2335" t="s">
        <v>434</v>
      </c>
      <c r="AG38" s="2340"/>
      <c r="AH38" s="2334"/>
      <c r="AI38" s="2496"/>
      <c r="AJ38" s="2499"/>
      <c r="AK38" s="2363"/>
      <c r="AQ38" s="1074">
        <v>34</v>
      </c>
    </row>
    <row r="39" spans="1:43" ht="90.4" customHeight="1">
      <c r="A39" s="1289"/>
      <c r="B39" s="1289" t="s">
        <v>135</v>
      </c>
      <c r="C39" s="1289" t="s">
        <v>136</v>
      </c>
      <c r="D39" s="1289" t="s">
        <v>137</v>
      </c>
      <c r="E39" s="1283" t="s">
        <v>435</v>
      </c>
      <c r="F39" s="1283" t="s">
        <v>436</v>
      </c>
      <c r="G39" s="1283" t="s">
        <v>437</v>
      </c>
      <c r="H39" s="1283"/>
      <c r="I39" s="1283" t="s">
        <v>488</v>
      </c>
      <c r="J39" s="1283" t="s">
        <v>440</v>
      </c>
      <c r="K39" s="1283" t="s">
        <v>489</v>
      </c>
      <c r="L39" s="1283" t="s">
        <v>416</v>
      </c>
      <c r="Q39" s="313"/>
      <c r="R39" s="313"/>
      <c r="S39" s="2491"/>
      <c r="T39" s="2442"/>
      <c r="U39" s="239"/>
      <c r="V39" s="1402" t="s">
        <v>516</v>
      </c>
      <c r="W39" s="1141" t="s">
        <v>517</v>
      </c>
      <c r="X39" s="1141" t="s">
        <v>492</v>
      </c>
      <c r="Y39" s="1408" t="s">
        <v>444</v>
      </c>
      <c r="Z39" s="2451" t="s">
        <v>445</v>
      </c>
      <c r="AA39" s="2453"/>
      <c r="AB39" s="2497"/>
      <c r="AC39" s="1402" t="s">
        <v>516</v>
      </c>
      <c r="AD39" s="1141" t="s">
        <v>517</v>
      </c>
      <c r="AE39" s="1141" t="s">
        <v>492</v>
      </c>
      <c r="AF39" s="1408" t="s">
        <v>444</v>
      </c>
      <c r="AG39" s="2451" t="s">
        <v>445</v>
      </c>
      <c r="AH39" s="2453"/>
      <c r="AI39" s="2497"/>
      <c r="AJ39" s="2500"/>
      <c r="AK39" s="2363"/>
      <c r="AQ39" s="1074">
        <v>86</v>
      </c>
    </row>
    <row r="40" spans="1:43" s="2269"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108</v>
      </c>
      <c r="T40" s="1174" t="s">
        <v>109</v>
      </c>
      <c r="U40" s="1164" t="str">
        <f ca="1">OFFSET(U40,0,-1)</f>
        <v>2</v>
      </c>
      <c r="V40" s="1401">
        <f ca="1">OFFSET(V40,0,-1)+1</f>
        <v>3</v>
      </c>
      <c r="W40" s="1401">
        <f ca="1">OFFSET(W40,0,-1)+1</f>
        <v>4</v>
      </c>
      <c r="X40" s="1401">
        <f ca="1">OFFSET(X40,0,-1)+1</f>
        <v>5</v>
      </c>
      <c r="Y40" s="1401">
        <f ca="1">OFFSET(Y40,0,-1)+1</f>
        <v>6</v>
      </c>
      <c r="Z40" s="2490">
        <f ca="1">OFFSET(Z40,0,-1)+1</f>
        <v>7</v>
      </c>
      <c r="AA40" s="2490"/>
      <c r="AB40" s="1401">
        <f ca="1">OFFSET(AB40,0,-2)+1</f>
        <v>8</v>
      </c>
      <c r="AC40" s="1401">
        <f ca="1">OFFSET(AC40,0,-1)+1</f>
        <v>9</v>
      </c>
      <c r="AD40" s="1401">
        <f ca="1">OFFSET(AD40,0,-1)+1</f>
        <v>10</v>
      </c>
      <c r="AE40" s="1401">
        <f ca="1">OFFSET(AE40,0,-1)+1</f>
        <v>11</v>
      </c>
      <c r="AF40" s="1401">
        <f ca="1">OFFSET(AF40,0,-1)+1</f>
        <v>12</v>
      </c>
      <c r="AG40" s="2490">
        <f ca="1">OFFSET(AG40,0,-1)+1</f>
        <v>13</v>
      </c>
      <c r="AH40" s="2490"/>
      <c r="AI40" s="1401">
        <f ca="1">OFFSET(AI40,0,-2)+1</f>
        <v>14</v>
      </c>
      <c r="AJ40" s="1164">
        <f ca="1">OFFSET(AJ40,0,-1)</f>
        <v>14</v>
      </c>
      <c r="AK40" s="1401">
        <f ca="1">OFFSET(AK40,0,-1)+1</f>
        <v>15</v>
      </c>
      <c r="AL40" s="448"/>
      <c r="AM40" s="448"/>
      <c r="AN40" s="448"/>
      <c r="AO40" s="448"/>
      <c r="AP40" s="448"/>
      <c r="AQ40" s="433">
        <v>0</v>
      </c>
    </row>
    <row r="41" spans="1:43" ht="24" customHeight="1">
      <c r="A41" s="1282" t="s">
        <v>269</v>
      </c>
      <c r="B41" s="1282"/>
      <c r="C41" s="1282"/>
      <c r="D41" s="1282"/>
      <c r="E41" s="2483">
        <v>1</v>
      </c>
      <c r="F41" s="1282"/>
      <c r="G41" s="1282"/>
      <c r="H41" s="1282"/>
      <c r="I41" s="1282"/>
      <c r="J41" s="1282"/>
      <c r="K41" s="1282"/>
      <c r="L41" s="1283"/>
      <c r="M41" s="1284"/>
      <c r="N41" s="1284"/>
      <c r="O41" s="1284"/>
      <c r="P41" s="298"/>
      <c r="Q41" s="297"/>
      <c r="R41" s="292"/>
      <c r="S41" s="1412">
        <f>INDEX(PT_DIFFERENTIATION_NUM_NTAR,MATCH(A41,PT_DIFFERENTIATION_NTAR_ID,0))</f>
        <v>0</v>
      </c>
      <c r="T41" s="235" t="s">
        <v>123</v>
      </c>
      <c r="U41" s="237"/>
      <c r="V41" s="2469"/>
      <c r="W41" s="2470"/>
      <c r="X41" s="2470"/>
      <c r="Y41" s="2470"/>
      <c r="Z41" s="2470"/>
      <c r="AA41" s="2470"/>
      <c r="AB41" s="2471"/>
      <c r="AC41" s="2469" t="str">
        <f>INDEX(PT_DIFFERENTIATION_NTAR,MATCH(A41,PT_DIFFERENTIATION_NTAR_ID,0))</f>
        <v/>
      </c>
      <c r="AD41" s="2470"/>
      <c r="AE41" s="2470"/>
      <c r="AF41" s="2470"/>
      <c r="AG41" s="2470"/>
      <c r="AH41" s="2470"/>
      <c r="AI41" s="2470"/>
      <c r="AJ41" s="2471"/>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4">
        <v>23</v>
      </c>
    </row>
    <row r="42" spans="1:43" ht="24" customHeight="1">
      <c r="A42" s="1282" t="s">
        <v>269</v>
      </c>
      <c r="B42" s="1282" t="s">
        <v>270</v>
      </c>
      <c r="C42" s="1282"/>
      <c r="D42" s="1282"/>
      <c r="E42" s="2484"/>
      <c r="F42" s="2483">
        <v>1</v>
      </c>
      <c r="G42" s="1282"/>
      <c r="H42" s="1282"/>
      <c r="I42" s="1282"/>
      <c r="J42" s="1282"/>
      <c r="K42" s="1282"/>
      <c r="L42" s="1283"/>
      <c r="M42" s="1284"/>
      <c r="N42" s="1284"/>
      <c r="O42" s="1284"/>
      <c r="P42" s="1406"/>
      <c r="Q42" s="289"/>
      <c r="R42" s="290"/>
      <c r="S42" s="1412" t="str">
        <f>INDEX(PT_DIFFERENTIATION_NUM_TER,MATCH(B42,PT_DIFFERENTIATION_TER_ID,0))</f>
        <v>.</v>
      </c>
      <c r="T42" s="245" t="s">
        <v>395</v>
      </c>
      <c r="U42" s="237"/>
      <c r="V42" s="2469"/>
      <c r="W42" s="2470"/>
      <c r="X42" s="2470"/>
      <c r="Y42" s="2470"/>
      <c r="Z42" s="2470"/>
      <c r="AA42" s="2470"/>
      <c r="AB42" s="2471"/>
      <c r="AC42" s="2469" t="str">
        <f>INDEX(PT_DIFFERENTIATION_TER,MATCH(B42,PT_DIFFERENTIATION_TER_ID,0))</f>
        <v/>
      </c>
      <c r="AD42" s="2470"/>
      <c r="AE42" s="2470"/>
      <c r="AF42" s="2470"/>
      <c r="AG42" s="2470"/>
      <c r="AH42" s="2470"/>
      <c r="AI42" s="2470"/>
      <c r="AJ42" s="2471"/>
      <c r="AK42" s="1177" t="s">
        <v>396</v>
      </c>
      <c r="AM42" s="437"/>
      <c r="AN42" s="437" t="str">
        <f t="shared" si="1"/>
        <v>Территория действия тарифа</v>
      </c>
      <c r="AO42" s="437"/>
      <c r="AP42" s="437"/>
      <c r="AQ42" s="1074">
        <v>23</v>
      </c>
    </row>
    <row r="43" spans="1:43" ht="24" customHeight="1">
      <c r="A43" s="1282" t="s">
        <v>269</v>
      </c>
      <c r="B43" s="1282" t="s">
        <v>270</v>
      </c>
      <c r="C43" s="1282" t="s">
        <v>271</v>
      </c>
      <c r="D43" s="1282"/>
      <c r="E43" s="2484"/>
      <c r="F43" s="2484"/>
      <c r="G43" s="2483">
        <v>1</v>
      </c>
      <c r="H43" s="1282"/>
      <c r="I43" s="1282"/>
      <c r="J43" s="1282"/>
      <c r="K43" s="1282"/>
      <c r="L43" s="1283"/>
      <c r="M43" s="1284"/>
      <c r="N43" s="1284"/>
      <c r="O43" s="1284"/>
      <c r="P43" s="291"/>
      <c r="Q43" s="289"/>
      <c r="R43" s="290"/>
      <c r="S43" s="1412" t="str">
        <f>INDEX(PT_DIFFERENTIATION_NUM_CS,MATCH(C43,PT_DIFFERENTIATION_CS_ID,0))</f>
        <v>..</v>
      </c>
      <c r="T43" s="246" t="s">
        <v>514</v>
      </c>
      <c r="U43" s="237"/>
      <c r="V43" s="2469"/>
      <c r="W43" s="2470"/>
      <c r="X43" s="2470"/>
      <c r="Y43" s="2470"/>
      <c r="Z43" s="2470"/>
      <c r="AA43" s="2470"/>
      <c r="AB43" s="2471"/>
      <c r="AC43" s="2469" t="str">
        <f>INDEX(PT_DIFFERENTIATION_CS,MATCH(C43,PT_DIFFERENTIATION_CS_ID,0))</f>
        <v/>
      </c>
      <c r="AD43" s="2470"/>
      <c r="AE43" s="2470"/>
      <c r="AF43" s="2470"/>
      <c r="AG43" s="2470"/>
      <c r="AH43" s="2470"/>
      <c r="AI43" s="2470"/>
      <c r="AJ43" s="2471"/>
      <c r="AK43" s="1177" t="s">
        <v>515</v>
      </c>
      <c r="AM43" s="437"/>
      <c r="AN43" s="437" t="str">
        <f t="shared" si="1"/>
        <v>Наименование централизованной системы водоотведения</v>
      </c>
      <c r="AO43" s="437"/>
      <c r="AP43" s="437"/>
      <c r="AQ43" s="1074">
        <v>23</v>
      </c>
    </row>
    <row r="44" spans="1:43" ht="24" customHeight="1">
      <c r="A44" s="1282" t="s">
        <v>269</v>
      </c>
      <c r="B44" s="1282" t="s">
        <v>270</v>
      </c>
      <c r="C44" s="1282" t="s">
        <v>271</v>
      </c>
      <c r="D44" s="1282" t="s">
        <v>519</v>
      </c>
      <c r="E44" s="2484"/>
      <c r="F44" s="2484"/>
      <c r="G44" s="2484"/>
      <c r="H44" s="2484"/>
      <c r="I44" s="2481" t="str">
        <f>S43&amp;".1"</f>
        <v>...1</v>
      </c>
      <c r="J44" s="1282"/>
      <c r="K44" s="1282"/>
      <c r="L44" s="1283"/>
      <c r="P44" s="2482">
        <v>1</v>
      </c>
      <c r="Q44" s="1400"/>
      <c r="R44" s="293"/>
      <c r="S44" s="1412" t="str">
        <f>$I44</f>
        <v>...1</v>
      </c>
      <c r="T44" s="222" t="s">
        <v>481</v>
      </c>
      <c r="U44" s="237"/>
      <c r="V44" s="2550"/>
      <c r="W44" s="2551"/>
      <c r="X44" s="2551"/>
      <c r="Y44" s="2551"/>
      <c r="Z44" s="2551"/>
      <c r="AA44" s="2551"/>
      <c r="AB44" s="2552"/>
      <c r="AC44" s="2553"/>
      <c r="AD44" s="2554"/>
      <c r="AE44" s="2554"/>
      <c r="AF44" s="2554"/>
      <c r="AG44" s="2554"/>
      <c r="AH44" s="2554"/>
      <c r="AI44" s="2554"/>
      <c r="AJ44" s="2555"/>
      <c r="AK44" s="1177" t="s">
        <v>482</v>
      </c>
      <c r="AM44" s="437"/>
      <c r="AN44" s="437" t="str">
        <f t="shared" si="1"/>
        <v>Наименование признака дифференциации</v>
      </c>
      <c r="AO44" s="437"/>
      <c r="AP44" s="437"/>
      <c r="AQ44" s="1074">
        <v>23</v>
      </c>
    </row>
    <row r="45" spans="1:43" ht="24" customHeight="1">
      <c r="A45" s="1282" t="s">
        <v>269</v>
      </c>
      <c r="B45" s="1282" t="s">
        <v>270</v>
      </c>
      <c r="C45" s="1282" t="s">
        <v>271</v>
      </c>
      <c r="D45" s="1282" t="s">
        <v>519</v>
      </c>
      <c r="E45" s="2484"/>
      <c r="F45" s="2484"/>
      <c r="G45" s="2484"/>
      <c r="H45" s="2484"/>
      <c r="I45" s="2504"/>
      <c r="J45" s="2481" t="str">
        <f>I44&amp;".1"</f>
        <v>...1.1</v>
      </c>
      <c r="K45" s="1282"/>
      <c r="L45" s="1283" t="s">
        <v>404</v>
      </c>
      <c r="P45" s="2482"/>
      <c r="Q45" s="2482">
        <v>1</v>
      </c>
      <c r="R45" s="294"/>
      <c r="S45" s="1412" t="str">
        <f>$J45</f>
        <v>...1.1</v>
      </c>
      <c r="T45" s="223" t="s">
        <v>405</v>
      </c>
      <c r="U45" s="237"/>
      <c r="V45" s="2472"/>
      <c r="W45" s="2473"/>
      <c r="X45" s="2473"/>
      <c r="Y45" s="2473"/>
      <c r="Z45" s="2473"/>
      <c r="AA45" s="2473"/>
      <c r="AB45" s="2474"/>
      <c r="AC45" s="2472"/>
      <c r="AD45" s="2473"/>
      <c r="AE45" s="2473"/>
      <c r="AF45" s="2473"/>
      <c r="AG45" s="2473"/>
      <c r="AH45" s="2473"/>
      <c r="AI45" s="2473"/>
      <c r="AJ45" s="2474"/>
      <c r="AK45" s="1226" t="s">
        <v>483</v>
      </c>
      <c r="AM45" s="437"/>
      <c r="AN45" s="437" t="str">
        <f t="shared" si="1"/>
        <v>Группа потребителей</v>
      </c>
      <c r="AO45" s="437"/>
      <c r="AP45" s="437"/>
      <c r="AQ45" s="1074">
        <v>23</v>
      </c>
    </row>
    <row r="46" spans="1:43" ht="24" customHeight="1">
      <c r="A46" s="1282" t="s">
        <v>269</v>
      </c>
      <c r="B46" s="1282" t="s">
        <v>270</v>
      </c>
      <c r="C46" s="1282" t="s">
        <v>271</v>
      </c>
      <c r="D46" s="1282" t="s">
        <v>519</v>
      </c>
      <c r="E46" s="2484"/>
      <c r="F46" s="2484"/>
      <c r="G46" s="2484"/>
      <c r="H46" s="2484"/>
      <c r="I46" s="2504"/>
      <c r="J46" s="2504"/>
      <c r="K46" s="2481" t="str">
        <f>J45&amp;".1"</f>
        <v>...1.1.1</v>
      </c>
      <c r="L46" s="1283"/>
      <c r="P46" s="2482"/>
      <c r="Q46" s="2482"/>
      <c r="R46" s="294">
        <v>1</v>
      </c>
      <c r="S46" s="1412" t="str">
        <f>$K46</f>
        <v>...1.1.1</v>
      </c>
      <c r="T46" s="1356"/>
      <c r="U46" s="237"/>
      <c r="V46" s="1279"/>
      <c r="W46" s="1279"/>
      <c r="X46" s="1280"/>
      <c r="Y46" s="2488"/>
      <c r="Z46" s="2489" t="s">
        <v>64</v>
      </c>
      <c r="AA46" s="2488"/>
      <c r="AB46" s="2489" t="s">
        <v>64</v>
      </c>
      <c r="AC46" s="688"/>
      <c r="AD46" s="688"/>
      <c r="AE46" s="1176"/>
      <c r="AF46" s="2486"/>
      <c r="AG46" s="2344" t="s">
        <v>64</v>
      </c>
      <c r="AH46" s="2505"/>
      <c r="AI46" s="2344" t="s">
        <v>19</v>
      </c>
      <c r="AJ46" s="1357"/>
      <c r="AK46" s="25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4">
        <v>23</v>
      </c>
    </row>
    <row r="47" spans="1:43" ht="0" hidden="1" customHeight="1">
      <c r="A47" s="1282" t="s">
        <v>269</v>
      </c>
      <c r="B47" s="1282" t="s">
        <v>270</v>
      </c>
      <c r="C47" s="1282" t="s">
        <v>271</v>
      </c>
      <c r="D47" s="1282" t="s">
        <v>519</v>
      </c>
      <c r="E47" s="2484"/>
      <c r="F47" s="2484"/>
      <c r="G47" s="2484"/>
      <c r="H47" s="2484"/>
      <c r="I47" s="2504"/>
      <c r="J47" s="2504"/>
      <c r="K47" s="2481"/>
      <c r="L47" s="1283"/>
      <c r="P47" s="2482"/>
      <c r="Q47" s="2482"/>
      <c r="R47" s="294"/>
      <c r="S47" s="1409"/>
      <c r="T47" s="237"/>
      <c r="U47" s="237"/>
      <c r="V47" s="1279"/>
      <c r="W47" s="1279"/>
      <c r="X47" s="265" t="str">
        <f>Y46&amp;"-"&amp;AA46</f>
        <v>-</v>
      </c>
      <c r="Y47" s="2489"/>
      <c r="Z47" s="2489"/>
      <c r="AA47" s="2489"/>
      <c r="AB47" s="2489"/>
      <c r="AC47" s="262"/>
      <c r="AD47" s="262"/>
      <c r="AE47" s="265" t="str">
        <f>AF46&amp;"-"&amp;AH46</f>
        <v>-</v>
      </c>
      <c r="AF47" s="2487"/>
      <c r="AG47" s="2344"/>
      <c r="AH47" s="2506"/>
      <c r="AI47" s="2344"/>
      <c r="AJ47" s="1358"/>
      <c r="AK47" s="2549"/>
      <c r="AM47" s="437"/>
      <c r="AN47" s="437" t="str">
        <f t="shared" si="1"/>
        <v/>
      </c>
      <c r="AO47" s="437"/>
      <c r="AP47" s="437"/>
      <c r="AQ47" s="1074">
        <v>0</v>
      </c>
    </row>
    <row r="48" spans="1:43" ht="21" customHeight="1">
      <c r="A48" s="1282" t="s">
        <v>269</v>
      </c>
      <c r="B48" s="1282" t="s">
        <v>270</v>
      </c>
      <c r="C48" s="1282" t="s">
        <v>271</v>
      </c>
      <c r="D48" s="1282" t="s">
        <v>519</v>
      </c>
      <c r="E48" s="2484"/>
      <c r="F48" s="2484"/>
      <c r="G48" s="2484"/>
      <c r="H48" s="2484"/>
      <c r="I48" s="2504"/>
      <c r="J48" s="2481"/>
      <c r="K48" s="1282"/>
      <c r="L48" s="1283"/>
      <c r="P48" s="2482"/>
      <c r="Q48" s="2482"/>
      <c r="R48" s="293"/>
      <c r="S48" s="1197"/>
      <c r="T48" s="224" t="s">
        <v>484</v>
      </c>
      <c r="U48" s="304"/>
      <c r="V48" s="304"/>
      <c r="W48" s="304"/>
      <c r="X48" s="304"/>
      <c r="Y48" s="304"/>
      <c r="Z48" s="304"/>
      <c r="AA48" s="304"/>
      <c r="AB48" s="304"/>
      <c r="AC48" s="304"/>
      <c r="AD48" s="304"/>
      <c r="AE48" s="304"/>
      <c r="AF48" s="304"/>
      <c r="AG48" s="304"/>
      <c r="AH48" s="304"/>
      <c r="AI48" s="304"/>
      <c r="AJ48" s="304"/>
      <c r="AK48" s="1177" t="s">
        <v>485</v>
      </c>
      <c r="AM48" s="437"/>
      <c r="AN48" s="437" t="str">
        <f t="shared" si="1"/>
        <v>Добавить значение признака дифференциации</v>
      </c>
      <c r="AO48" s="437"/>
      <c r="AP48" s="437"/>
      <c r="AQ48" s="1074">
        <v>20</v>
      </c>
    </row>
    <row r="49" spans="1:43" ht="21.95" customHeight="1">
      <c r="A49" s="1282" t="s">
        <v>269</v>
      </c>
      <c r="B49" s="1282" t="s">
        <v>270</v>
      </c>
      <c r="C49" s="1282" t="s">
        <v>271</v>
      </c>
      <c r="D49" s="1282" t="s">
        <v>519</v>
      </c>
      <c r="E49" s="2484"/>
      <c r="F49" s="2484"/>
      <c r="G49" s="2484"/>
      <c r="H49" s="2484"/>
      <c r="I49" s="2481"/>
      <c r="J49" s="1282"/>
      <c r="K49" s="1282"/>
      <c r="L49" s="1283"/>
      <c r="P49" s="2482"/>
      <c r="Q49" s="1400"/>
      <c r="R49" s="293"/>
      <c r="S49" s="1197"/>
      <c r="T49" s="302" t="s">
        <v>410</v>
      </c>
      <c r="U49" s="304"/>
      <c r="V49" s="304"/>
      <c r="W49" s="304"/>
      <c r="X49" s="304"/>
      <c r="Y49" s="304"/>
      <c r="Z49" s="304"/>
      <c r="AA49" s="304"/>
      <c r="AB49" s="303"/>
      <c r="AC49" s="304"/>
      <c r="AD49" s="304"/>
      <c r="AE49" s="304"/>
      <c r="AF49" s="304"/>
      <c r="AG49" s="304"/>
      <c r="AH49" s="304"/>
      <c r="AI49" s="303"/>
      <c r="AJ49" s="304"/>
      <c r="AK49" s="1359"/>
      <c r="AM49" s="437"/>
      <c r="AN49" s="437" t="str">
        <f t="shared" si="1"/>
        <v>Добавить группу потребителей</v>
      </c>
      <c r="AO49" s="437"/>
      <c r="AP49" s="437"/>
      <c r="AQ49" s="1074">
        <v>21</v>
      </c>
    </row>
    <row r="50" spans="1:43" ht="21.95" customHeight="1">
      <c r="A50" s="1282" t="s">
        <v>269</v>
      </c>
      <c r="B50" s="1282" t="s">
        <v>270</v>
      </c>
      <c r="C50" s="1282" t="s">
        <v>271</v>
      </c>
      <c r="D50" s="1282" t="s">
        <v>519</v>
      </c>
      <c r="E50" s="2484"/>
      <c r="F50" s="2484"/>
      <c r="G50" s="2484"/>
      <c r="H50" s="2483"/>
      <c r="I50" s="1282"/>
      <c r="J50" s="1282"/>
      <c r="K50" s="1282"/>
      <c r="L50" s="1283"/>
      <c r="M50" s="1284"/>
      <c r="N50" s="1284"/>
      <c r="O50" s="474"/>
      <c r="P50" s="297"/>
      <c r="Q50" s="312"/>
      <c r="R50" s="292"/>
      <c r="S50" s="1197"/>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74">
        <v>21</v>
      </c>
    </row>
    <row r="51" spans="1:43" s="2245" customFormat="1" ht="0" hidden="1" customHeight="1">
      <c r="A51" s="1262" t="s">
        <v>269</v>
      </c>
      <c r="B51" s="1262" t="s">
        <v>270</v>
      </c>
      <c r="C51" s="1233"/>
      <c r="D51" s="1233"/>
      <c r="E51" s="2484"/>
      <c r="F51" s="2483"/>
      <c r="G51" s="1233"/>
      <c r="H51" s="1233"/>
      <c r="I51" s="1233"/>
      <c r="J51" s="1233"/>
      <c r="K51" s="1233"/>
      <c r="L51" s="1413"/>
      <c r="M51" s="1240"/>
      <c r="N51" s="1240"/>
      <c r="P51" s="1235"/>
      <c r="Q51" s="1236"/>
      <c r="R51" s="1235"/>
      <c r="S51" s="1241"/>
      <c r="T51" s="1244" t="s">
        <v>413</v>
      </c>
      <c r="U51" s="1243"/>
      <c r="V51" s="1243"/>
      <c r="W51" s="1243"/>
      <c r="X51" s="1243"/>
      <c r="Y51" s="1243"/>
      <c r="Z51" s="1243"/>
      <c r="AA51" s="1243"/>
      <c r="AB51" s="1243"/>
      <c r="AC51" s="1243"/>
      <c r="AD51" s="1243"/>
      <c r="AE51" s="1243"/>
      <c r="AF51" s="1243"/>
      <c r="AG51" s="1243"/>
      <c r="AH51" s="1243"/>
      <c r="AI51" s="1243"/>
      <c r="AJ51" s="1243"/>
      <c r="AK51" s="1243"/>
      <c r="AM51" s="720"/>
      <c r="AN51" s="720" t="str">
        <f t="shared" si="1"/>
        <v>Добавить централизованную систему для дифференциации</v>
      </c>
      <c r="AO51" s="720"/>
      <c r="AP51" s="720"/>
      <c r="AQ51" s="455">
        <v>0</v>
      </c>
    </row>
    <row r="52" spans="1:43" s="2245" customFormat="1" ht="0" hidden="1" customHeight="1">
      <c r="A52" s="1262" t="s">
        <v>269</v>
      </c>
      <c r="B52" s="1262"/>
      <c r="C52" s="1262"/>
      <c r="D52" s="1262"/>
      <c r="E52" s="2483"/>
      <c r="F52" s="1262"/>
      <c r="G52" s="1262"/>
      <c r="H52" s="1262"/>
      <c r="I52" s="1262"/>
      <c r="J52" s="1262"/>
      <c r="K52" s="1262"/>
      <c r="L52" s="1265"/>
      <c r="M52" s="1240"/>
      <c r="N52" s="1240"/>
      <c r="O52" s="455"/>
      <c r="P52" s="317"/>
      <c r="Q52" s="1263"/>
      <c r="R52" s="317"/>
      <c r="S52" s="1241"/>
      <c r="T52" s="1244" t="s">
        <v>414</v>
      </c>
      <c r="U52" s="1243"/>
      <c r="V52" s="1243"/>
      <c r="W52" s="1243"/>
      <c r="X52" s="1243"/>
      <c r="Y52" s="1243"/>
      <c r="Z52" s="1243"/>
      <c r="AA52" s="1243"/>
      <c r="AB52" s="1243"/>
      <c r="AC52" s="1243"/>
      <c r="AD52" s="1243"/>
      <c r="AE52" s="1243"/>
      <c r="AF52" s="1243"/>
      <c r="AG52" s="1243"/>
      <c r="AH52" s="1243"/>
      <c r="AI52" s="1243"/>
      <c r="AJ52" s="1243"/>
      <c r="AK52" s="1243"/>
      <c r="AM52" s="437"/>
      <c r="AN52" s="437" t="str">
        <f t="shared" si="1"/>
        <v>Добавить территорию для дифференциации</v>
      </c>
      <c r="AO52" s="437"/>
      <c r="AP52" s="437"/>
      <c r="AQ52" s="448">
        <v>0</v>
      </c>
    </row>
    <row r="53" spans="1:43" s="2245"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446</v>
      </c>
      <c r="U53" s="1243"/>
      <c r="V53" s="1243"/>
      <c r="W53" s="1243"/>
      <c r="X53" s="1243"/>
      <c r="Y53" s="1243"/>
      <c r="Z53" s="1243"/>
      <c r="AA53" s="1243"/>
      <c r="AB53" s="1243"/>
      <c r="AC53" s="1243"/>
      <c r="AD53" s="1243"/>
      <c r="AE53" s="1243"/>
      <c r="AF53" s="1243"/>
      <c r="AG53" s="1243"/>
      <c r="AH53" s="1243"/>
      <c r="AI53" s="1243"/>
      <c r="AJ53" s="1243"/>
      <c r="AK53" s="1243"/>
      <c r="AM53" s="720"/>
      <c r="AN53" s="720" t="str">
        <f t="shared" si="1"/>
        <v>Добавить наименование тарифа</v>
      </c>
      <c r="AO53" s="720"/>
      <c r="AP53" s="720"/>
      <c r="AQ53" s="455">
        <v>0</v>
      </c>
    </row>
    <row r="54" spans="1:43" ht="11.45" customHeight="1">
      <c r="M54" s="1079"/>
      <c r="N54" s="1079"/>
      <c r="O54" s="474"/>
      <c r="P54" s="1074"/>
      <c r="Q54" s="1074"/>
      <c r="R54" s="1074"/>
      <c r="S54" s="1074"/>
      <c r="AL54" s="1074"/>
      <c r="AM54" s="1074"/>
      <c r="AN54" s="1074"/>
      <c r="AO54" s="1074"/>
      <c r="AP54" s="1074"/>
      <c r="AQ54" s="1074">
        <v>11</v>
      </c>
    </row>
    <row r="55" spans="1:43" ht="14.65" customHeight="1">
      <c r="O55" s="474"/>
      <c r="S55" s="1172"/>
      <c r="T55" s="2503"/>
      <c r="U55" s="2503"/>
      <c r="V55" s="2503"/>
      <c r="W55" s="2503"/>
      <c r="X55" s="2503"/>
      <c r="Y55" s="2503"/>
      <c r="Z55" s="2503"/>
      <c r="AA55" s="2503"/>
      <c r="AB55" s="2503"/>
      <c r="AC55" s="2503"/>
      <c r="AD55" s="2503"/>
      <c r="AE55" s="2503"/>
      <c r="AF55" s="2503"/>
      <c r="AG55" s="2503"/>
      <c r="AH55" s="2503"/>
      <c r="AI55" s="2503"/>
      <c r="AJ55" s="2503"/>
      <c r="AK55" s="2503"/>
      <c r="AQ55" s="1074">
        <v>14</v>
      </c>
    </row>
    <row r="56" spans="1:43" ht="14.65" customHeight="1">
      <c r="O56" s="474"/>
      <c r="AQ56" s="1074">
        <v>14</v>
      </c>
    </row>
    <row r="57" spans="1:43" ht="14.65" customHeight="1">
      <c r="O57" s="474"/>
      <c r="S57" s="1172"/>
      <c r="T57" s="2503"/>
      <c r="U57" s="2503"/>
      <c r="V57" s="2503"/>
      <c r="W57" s="2503"/>
      <c r="X57" s="2503"/>
      <c r="Y57" s="2503"/>
      <c r="Z57" s="2503"/>
      <c r="AA57" s="2503"/>
      <c r="AB57" s="2503"/>
      <c r="AC57" s="2503"/>
      <c r="AD57" s="2503"/>
      <c r="AE57" s="2503"/>
      <c r="AF57" s="2503"/>
      <c r="AG57" s="2503"/>
      <c r="AH57" s="2503"/>
      <c r="AI57" s="2503"/>
      <c r="AJ57" s="2503"/>
      <c r="AK57" s="2503"/>
      <c r="AQ57" s="1074">
        <v>14</v>
      </c>
    </row>
    <row r="58" spans="1:43" ht="22.5" hidden="1" customHeight="1">
      <c r="A58" s="1079" t="s">
        <v>81</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8">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8">
        <v>10</v>
      </c>
      <c r="AM58" s="448">
        <v>10</v>
      </c>
      <c r="AN58" s="448">
        <v>10</v>
      </c>
      <c r="AO58" s="448">
        <v>10</v>
      </c>
      <c r="AP58" s="448">
        <v>10</v>
      </c>
      <c r="AQ58" s="1074">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244" hidden="1" customWidth="1"/>
    <col min="2" max="2" width="11" style="2244" hidden="1" customWidth="1"/>
    <col min="3" max="3" width="10.5703125" style="2244" hidden="1"/>
    <col min="4" max="4" width="12.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2" style="2244" hidden="1" customWidth="1"/>
    <col min="10" max="10" width="9.85546875" style="2244" hidden="1" customWidth="1"/>
    <col min="11" max="11" width="11.42578125" style="2244" hidden="1" customWidth="1"/>
    <col min="12" max="12" width="19.140625" style="2270" hidden="1" customWidth="1"/>
    <col min="13" max="14" width="12.28515625" style="2271" hidden="1" customWidth="1"/>
    <col min="15" max="15" width="23.42578125" style="2271" hidden="1" customWidth="1"/>
    <col min="16" max="16" width="3.7109375" style="2271" hidden="1" customWidth="1"/>
    <col min="17" max="17" width="3.7109375" style="2276" hidden="1" customWidth="1"/>
    <col min="18" max="18" width="3" style="2273" customWidth="1"/>
    <col min="19" max="19" width="12" style="2274" customWidth="1"/>
    <col min="20" max="20" width="31" style="2238" customWidth="1"/>
    <col min="21" max="21" width="0.140625" style="2238" customWidth="1"/>
    <col min="22" max="25" width="21.7109375" style="2238" hidden="1" customWidth="1"/>
    <col min="26" max="26" width="11.7109375" style="2238" hidden="1" customWidth="1"/>
    <col min="27" max="27" width="3.7109375" style="2238" hidden="1" customWidth="1"/>
    <col min="28" max="28" width="11.7109375" style="2238" hidden="1" customWidth="1"/>
    <col min="29" max="29" width="8.5703125" style="2238" hidden="1" customWidth="1"/>
    <col min="30" max="30" width="3.7109375" style="2238" customWidth="1"/>
    <col min="31" max="32" width="3" style="2238" customWidth="1"/>
    <col min="33" max="33" width="24" style="2238" customWidth="1"/>
    <col min="34" max="34" width="3.7109375" style="2238" customWidth="1"/>
    <col min="35" max="36" width="3" style="2238" customWidth="1"/>
    <col min="37" max="37" width="24" style="2238" customWidth="1"/>
    <col min="38" max="38" width="3.7109375" style="2238" customWidth="1"/>
    <col min="39" max="40" width="3" style="2238" customWidth="1"/>
    <col min="41" max="41" width="18" style="2238" customWidth="1"/>
    <col min="42" max="42" width="3.7109375" style="2238" customWidth="1"/>
    <col min="43" max="44" width="3" style="2238" customWidth="1"/>
    <col min="45" max="45" width="18" style="2238" customWidth="1"/>
    <col min="46" max="49" width="21" style="2238" customWidth="1"/>
    <col min="50" max="50" width="11" style="2238" customWidth="1"/>
    <col min="51" max="51" width="3.7109375" style="2238" customWidth="1"/>
    <col min="52" max="52" width="11" style="2238" customWidth="1"/>
    <col min="53" max="53" width="8.5703125" style="2238" hidden="1" customWidth="1"/>
    <col min="54" max="54" width="4" style="2238" customWidth="1"/>
    <col min="55" max="55" width="115" style="2238" customWidth="1"/>
    <col min="56" max="60" width="10" style="2245" customWidth="1"/>
    <col min="61" max="61" width="10.5703125" style="2238" hidden="1"/>
  </cols>
  <sheetData>
    <row r="1" spans="1:61" ht="22.5" hidden="1" customHeight="1">
      <c r="W1" s="264"/>
      <c r="Y1" s="264"/>
      <c r="Z1" s="264"/>
      <c r="AW1" s="264"/>
      <c r="AX1" s="264"/>
      <c r="BI1" s="1074" t="s">
        <v>14</v>
      </c>
    </row>
    <row r="2" spans="1:61" ht="21" hidden="1" customHeight="1">
      <c r="A2" s="1282"/>
      <c r="B2" s="1282"/>
      <c r="C2" s="1282"/>
      <c r="D2" s="1282"/>
      <c r="E2" s="2483">
        <v>1</v>
      </c>
      <c r="F2" s="1282"/>
      <c r="G2" s="1282"/>
      <c r="H2" s="1282"/>
      <c r="I2" s="1282"/>
      <c r="J2" s="1282"/>
      <c r="K2" s="1282"/>
      <c r="L2" s="1283"/>
      <c r="M2" s="1284"/>
      <c r="N2" s="1284"/>
      <c r="O2" s="1284"/>
      <c r="P2" s="1328"/>
      <c r="Q2" s="800"/>
      <c r="R2" s="292"/>
      <c r="S2" s="1412" t="e">
        <f>INDEX(PT_DIFFERENTIATION_NUM_NTAR,MATCH(A2,PT_DIFFERENTIATION_NTAR_ID,0))</f>
        <v>#N/A</v>
      </c>
      <c r="T2" s="235" t="s">
        <v>123</v>
      </c>
      <c r="U2" s="237"/>
      <c r="V2" s="2470"/>
      <c r="W2" s="2470"/>
      <c r="X2" s="2470"/>
      <c r="Y2" s="2470"/>
      <c r="Z2" s="2470"/>
      <c r="AA2" s="2470"/>
      <c r="AB2" s="2470"/>
      <c r="AC2" s="2471"/>
      <c r="AD2" s="2469" t="e">
        <f>INDEX(PT_DIFFERENTIATION_NTAR,MATCH(A2,PT_DIFFERENTIATION_NTAR_ID,0))</f>
        <v>#N/A</v>
      </c>
      <c r="AE2" s="2470"/>
      <c r="AF2" s="2470"/>
      <c r="AG2" s="2470"/>
      <c r="AH2" s="2470"/>
      <c r="AI2" s="2470"/>
      <c r="AJ2" s="2470"/>
      <c r="AK2" s="2470"/>
      <c r="AL2" s="2470"/>
      <c r="AM2" s="2470"/>
      <c r="AN2" s="2470"/>
      <c r="AO2" s="2470"/>
      <c r="AP2" s="2470"/>
      <c r="AQ2" s="2470"/>
      <c r="AR2" s="2470"/>
      <c r="AS2" s="2470"/>
      <c r="AT2" s="2470"/>
      <c r="AU2" s="2470"/>
      <c r="AV2" s="2470"/>
      <c r="AW2" s="2470"/>
      <c r="AX2" s="2470"/>
      <c r="AY2" s="2470"/>
      <c r="AZ2" s="2470"/>
      <c r="BA2" s="2470"/>
      <c r="BB2" s="2471"/>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74">
        <v>0</v>
      </c>
    </row>
    <row r="3" spans="1:61" ht="21" hidden="1" customHeight="1">
      <c r="A3" s="1282"/>
      <c r="B3" s="1282"/>
      <c r="C3" s="1282"/>
      <c r="D3" s="1282"/>
      <c r="E3" s="2484"/>
      <c r="F3" s="2483">
        <v>1</v>
      </c>
      <c r="G3" s="1282"/>
      <c r="H3" s="1282"/>
      <c r="I3" s="1282"/>
      <c r="J3" s="1282"/>
      <c r="K3" s="1282"/>
      <c r="L3" s="1283"/>
      <c r="M3" s="1284"/>
      <c r="N3" s="1284"/>
      <c r="O3" s="1284"/>
      <c r="P3" s="1329"/>
      <c r="Q3" s="1330"/>
      <c r="R3" s="290"/>
      <c r="S3" s="1412" t="e">
        <f>INDEX(PT_DIFFERENTIATION_NUM_TER,MATCH(B3,PT_DIFFERENTIATION_TER_ID,0))</f>
        <v>#N/A</v>
      </c>
      <c r="T3" s="245" t="s">
        <v>395</v>
      </c>
      <c r="U3" s="237"/>
      <c r="V3" s="2470"/>
      <c r="W3" s="2470"/>
      <c r="X3" s="2470"/>
      <c r="Y3" s="2470"/>
      <c r="Z3" s="2470"/>
      <c r="AA3" s="2470"/>
      <c r="AB3" s="2470"/>
      <c r="AC3" s="2471"/>
      <c r="AD3" s="2469" t="e">
        <f>INDEX(PT_DIFFERENTIATION_TER,MATCH(B3,PT_DIFFERENTIATION_TER_ID,0))</f>
        <v>#N/A</v>
      </c>
      <c r="AE3" s="2470"/>
      <c r="AF3" s="2470"/>
      <c r="AG3" s="2470"/>
      <c r="AH3" s="2470"/>
      <c r="AI3" s="2470"/>
      <c r="AJ3" s="2470"/>
      <c r="AK3" s="2470"/>
      <c r="AL3" s="2470"/>
      <c r="AM3" s="2470"/>
      <c r="AN3" s="2470"/>
      <c r="AO3" s="2470"/>
      <c r="AP3" s="2470"/>
      <c r="AQ3" s="2470"/>
      <c r="AR3" s="2470"/>
      <c r="AS3" s="2470"/>
      <c r="AT3" s="2470"/>
      <c r="AU3" s="2470"/>
      <c r="AV3" s="2470"/>
      <c r="AW3" s="2470"/>
      <c r="AX3" s="2470"/>
      <c r="AY3" s="2470"/>
      <c r="AZ3" s="2470"/>
      <c r="BA3" s="2470"/>
      <c r="BB3" s="2471"/>
      <c r="BC3" s="1177" t="s">
        <v>396</v>
      </c>
      <c r="BE3" s="437"/>
      <c r="BF3" s="437" t="str">
        <f t="shared" si="0"/>
        <v>Территория действия тарифа</v>
      </c>
      <c r="BG3" s="437"/>
      <c r="BH3" s="437"/>
      <c r="BI3" s="1074">
        <v>0</v>
      </c>
    </row>
    <row r="4" spans="1:61" ht="33.75" hidden="1" customHeight="1">
      <c r="A4" s="1282"/>
      <c r="B4" s="1282"/>
      <c r="C4" s="1282"/>
      <c r="D4" s="1282"/>
      <c r="E4" s="2484"/>
      <c r="F4" s="2484"/>
      <c r="G4" s="2483">
        <v>1</v>
      </c>
      <c r="H4" s="1282"/>
      <c r="I4" s="1282"/>
      <c r="J4" s="1282"/>
      <c r="K4" s="1282"/>
      <c r="L4" s="1283"/>
      <c r="M4" s="1284"/>
      <c r="N4" s="1284"/>
      <c r="O4" s="1284"/>
      <c r="P4" s="1331"/>
      <c r="Q4" s="1330"/>
      <c r="R4" s="290"/>
      <c r="S4" s="1412" t="e">
        <f>INDEX(PT_DIFFERENTIATION_NUM_CS,MATCH(C4,PT_DIFFERENTIATION_CS_ID,0))</f>
        <v>#N/A</v>
      </c>
      <c r="T4" s="246" t="s">
        <v>514</v>
      </c>
      <c r="U4" s="237"/>
      <c r="V4" s="2470"/>
      <c r="W4" s="2470"/>
      <c r="X4" s="2470"/>
      <c r="Y4" s="2470"/>
      <c r="Z4" s="2470"/>
      <c r="AA4" s="2470"/>
      <c r="AB4" s="2470"/>
      <c r="AC4" s="2471"/>
      <c r="AD4" s="2469" t="e">
        <f>INDEX(PT_DIFFERENTIATION_CS,MATCH(C4,PT_DIFFERENTIATION_CS_ID,0))</f>
        <v>#N/A</v>
      </c>
      <c r="AE4" s="2470"/>
      <c r="AF4" s="2470"/>
      <c r="AG4" s="2470"/>
      <c r="AH4" s="2470"/>
      <c r="AI4" s="2470"/>
      <c r="AJ4" s="2470"/>
      <c r="AK4" s="2470"/>
      <c r="AL4" s="2470"/>
      <c r="AM4" s="2470"/>
      <c r="AN4" s="2470"/>
      <c r="AO4" s="2470"/>
      <c r="AP4" s="2470"/>
      <c r="AQ4" s="2470"/>
      <c r="AR4" s="2470"/>
      <c r="AS4" s="2470"/>
      <c r="AT4" s="2470"/>
      <c r="AU4" s="2470"/>
      <c r="AV4" s="2470"/>
      <c r="AW4" s="2470"/>
      <c r="AX4" s="2470"/>
      <c r="AY4" s="2470"/>
      <c r="AZ4" s="2470"/>
      <c r="BA4" s="2470"/>
      <c r="BB4" s="2471"/>
      <c r="BC4" s="1177" t="s">
        <v>515</v>
      </c>
      <c r="BE4" s="437"/>
      <c r="BF4" s="437" t="str">
        <f t="shared" si="0"/>
        <v>Наименование централизованной системы водоотведения</v>
      </c>
      <c r="BG4" s="437"/>
      <c r="BH4" s="437"/>
      <c r="BI4" s="1074">
        <v>0</v>
      </c>
    </row>
    <row r="5" spans="1:61" s="2245" customFormat="1" ht="14.25" hidden="1" customHeight="1">
      <c r="A5" s="1262"/>
      <c r="B5" s="1262"/>
      <c r="C5" s="1262"/>
      <c r="D5" s="1262"/>
      <c r="E5" s="2484"/>
      <c r="F5" s="2484"/>
      <c r="G5" s="2484"/>
      <c r="H5" s="2483">
        <v>1</v>
      </c>
      <c r="I5" s="1262"/>
      <c r="J5" s="1262"/>
      <c r="K5" s="1262"/>
      <c r="L5" s="1265"/>
      <c r="M5" s="1234"/>
      <c r="N5" s="1234"/>
      <c r="O5" s="1234"/>
      <c r="P5" s="1416"/>
      <c r="Q5" s="1417"/>
      <c r="R5" s="294"/>
      <c r="S5" s="966"/>
      <c r="T5" s="1418"/>
      <c r="U5" s="1303"/>
      <c r="V5" s="2513"/>
      <c r="W5" s="2513"/>
      <c r="X5" s="2513"/>
      <c r="Y5" s="2513"/>
      <c r="Z5" s="2513"/>
      <c r="AA5" s="2513"/>
      <c r="AB5" s="2513"/>
      <c r="AC5" s="2514"/>
      <c r="AD5" s="2512"/>
      <c r="AE5" s="2513"/>
      <c r="AF5" s="2513"/>
      <c r="AG5" s="2513"/>
      <c r="AH5" s="2513"/>
      <c r="AI5" s="2513"/>
      <c r="AJ5" s="2513"/>
      <c r="AK5" s="2513"/>
      <c r="AL5" s="2513"/>
      <c r="AM5" s="2513"/>
      <c r="AN5" s="2513"/>
      <c r="AO5" s="2513"/>
      <c r="AP5" s="2513"/>
      <c r="AQ5" s="2513"/>
      <c r="AR5" s="2513"/>
      <c r="AS5" s="2513"/>
      <c r="AT5" s="2513"/>
      <c r="AU5" s="2513"/>
      <c r="AV5" s="2513"/>
      <c r="AW5" s="2513"/>
      <c r="AX5" s="2513"/>
      <c r="AY5" s="2513"/>
      <c r="AZ5" s="2513"/>
      <c r="BA5" s="2513"/>
      <c r="BB5" s="2514"/>
      <c r="BC5" s="1304" t="s">
        <v>400</v>
      </c>
      <c r="BE5" s="437"/>
      <c r="BF5" s="437" t="str">
        <f t="shared" si="0"/>
        <v/>
      </c>
      <c r="BG5" s="437"/>
      <c r="BH5" s="437"/>
      <c r="BI5" s="448">
        <v>0</v>
      </c>
    </row>
    <row r="6" spans="1:61" s="2245" customFormat="1" ht="14.25" hidden="1" customHeight="1">
      <c r="A6" s="1262"/>
      <c r="B6" s="1262"/>
      <c r="C6" s="1262"/>
      <c r="D6" s="1262"/>
      <c r="E6" s="2484"/>
      <c r="F6" s="2484"/>
      <c r="G6" s="2484"/>
      <c r="H6" s="2484"/>
      <c r="I6" s="2481" t="str">
        <f>S5&amp;".1"</f>
        <v>.1</v>
      </c>
      <c r="J6" s="1262"/>
      <c r="K6" s="1262"/>
      <c r="L6" s="1265" t="s">
        <v>401</v>
      </c>
      <c r="M6" s="447"/>
      <c r="N6" s="447"/>
      <c r="O6" s="447"/>
      <c r="P6" s="2482">
        <v>1</v>
      </c>
      <c r="Q6" s="1400"/>
      <c r="R6" s="293"/>
      <c r="S6" s="966"/>
      <c r="T6" s="1302"/>
      <c r="U6" s="1303"/>
      <c r="V6" s="2513"/>
      <c r="W6" s="2513"/>
      <c r="X6" s="2513"/>
      <c r="Y6" s="2513"/>
      <c r="Z6" s="2513"/>
      <c r="AA6" s="2513"/>
      <c r="AB6" s="2513"/>
      <c r="AC6" s="2514"/>
      <c r="AD6" s="2512"/>
      <c r="AE6" s="2513"/>
      <c r="AF6" s="2513"/>
      <c r="AG6" s="2513"/>
      <c r="AH6" s="2513"/>
      <c r="AI6" s="2513"/>
      <c r="AJ6" s="2513"/>
      <c r="AK6" s="2513"/>
      <c r="AL6" s="2513"/>
      <c r="AM6" s="2513"/>
      <c r="AN6" s="2513"/>
      <c r="AO6" s="2513"/>
      <c r="AP6" s="2513"/>
      <c r="AQ6" s="2513"/>
      <c r="AR6" s="2513"/>
      <c r="AS6" s="2513"/>
      <c r="AT6" s="2513"/>
      <c r="AU6" s="2513"/>
      <c r="AV6" s="2513"/>
      <c r="AW6" s="2513"/>
      <c r="AX6" s="2513"/>
      <c r="AY6" s="2513"/>
      <c r="AZ6" s="2513"/>
      <c r="BA6" s="2513"/>
      <c r="BB6" s="2514"/>
      <c r="BC6" s="1304"/>
      <c r="BE6" s="437"/>
      <c r="BF6" s="437" t="str">
        <f t="shared" si="0"/>
        <v/>
      </c>
      <c r="BG6" s="437"/>
      <c r="BH6" s="437"/>
      <c r="BI6" s="448">
        <v>0</v>
      </c>
    </row>
    <row r="7" spans="1:61" s="2245" customFormat="1" ht="14.25" hidden="1" customHeight="1">
      <c r="A7" s="1262"/>
      <c r="B7" s="1262"/>
      <c r="C7" s="1262"/>
      <c r="D7" s="1262"/>
      <c r="E7" s="2484"/>
      <c r="F7" s="2484"/>
      <c r="G7" s="2484"/>
      <c r="H7" s="2484"/>
      <c r="I7" s="2504"/>
      <c r="J7" s="2481" t="str">
        <f>S5&amp;".1"</f>
        <v>.1</v>
      </c>
      <c r="K7" s="1262"/>
      <c r="L7" s="1265"/>
      <c r="M7" s="447"/>
      <c r="N7" s="447"/>
      <c r="O7" s="447"/>
      <c r="P7" s="2482"/>
      <c r="Q7" s="2482">
        <v>1</v>
      </c>
      <c r="R7" s="294"/>
      <c r="S7" s="966"/>
      <c r="T7" s="1318"/>
      <c r="U7" s="1303"/>
      <c r="V7" s="2513"/>
      <c r="W7" s="2513"/>
      <c r="X7" s="2513"/>
      <c r="Y7" s="2513"/>
      <c r="Z7" s="2513"/>
      <c r="AA7" s="2513"/>
      <c r="AB7" s="2513"/>
      <c r="AC7" s="2514"/>
      <c r="AD7" s="2512"/>
      <c r="AE7" s="2513"/>
      <c r="AF7" s="2513"/>
      <c r="AG7" s="2513"/>
      <c r="AH7" s="2513"/>
      <c r="AI7" s="2513"/>
      <c r="AJ7" s="2513"/>
      <c r="AK7" s="2513"/>
      <c r="AL7" s="2513"/>
      <c r="AM7" s="2513"/>
      <c r="AN7" s="2513"/>
      <c r="AO7" s="2513"/>
      <c r="AP7" s="2513"/>
      <c r="AQ7" s="2513"/>
      <c r="AR7" s="2513"/>
      <c r="AS7" s="2513"/>
      <c r="AT7" s="2513"/>
      <c r="AU7" s="2513"/>
      <c r="AV7" s="2513"/>
      <c r="AW7" s="2513"/>
      <c r="AX7" s="2513"/>
      <c r="AY7" s="2513"/>
      <c r="AZ7" s="2513"/>
      <c r="BA7" s="2513"/>
      <c r="BB7" s="2514"/>
      <c r="BC7" s="1304"/>
      <c r="BE7" s="437"/>
      <c r="BF7" s="437" t="str">
        <f t="shared" si="0"/>
        <v/>
      </c>
      <c r="BG7" s="437"/>
      <c r="BH7" s="437"/>
      <c r="BI7" s="448">
        <v>0</v>
      </c>
    </row>
    <row r="8" spans="1:61" ht="11.25" hidden="1" customHeight="1">
      <c r="A8" s="1282"/>
      <c r="B8" s="1282"/>
      <c r="C8" s="1282"/>
      <c r="D8" s="1282"/>
      <c r="E8" s="2484"/>
      <c r="F8" s="2484"/>
      <c r="G8" s="2484"/>
      <c r="H8" s="2484"/>
      <c r="I8" s="2504"/>
      <c r="J8" s="2504"/>
      <c r="K8" s="2481" t="e">
        <f>S4&amp;".1"</f>
        <v>#N/A</v>
      </c>
      <c r="L8" s="1283"/>
      <c r="P8" s="2482"/>
      <c r="Q8" s="2482"/>
      <c r="R8" s="2547">
        <v>1</v>
      </c>
      <c r="S8" s="2541" t="e">
        <f>$K8</f>
        <v>#N/A</v>
      </c>
      <c r="T8" s="2560"/>
      <c r="U8" s="237"/>
      <c r="V8" s="688"/>
      <c r="W8" s="1176"/>
      <c r="X8" s="688"/>
      <c r="Y8" s="1176"/>
      <c r="Z8" s="1652"/>
      <c r="AA8" s="1388" t="s">
        <v>64</v>
      </c>
      <c r="AB8" s="1652"/>
      <c r="AC8" s="1388" t="s">
        <v>64</v>
      </c>
      <c r="AD8" s="2421" t="s">
        <v>64</v>
      </c>
      <c r="AE8" s="2526"/>
      <c r="AF8" s="2438">
        <v>1</v>
      </c>
      <c r="AG8" s="2563"/>
      <c r="AH8" s="2344" t="s">
        <v>64</v>
      </c>
      <c r="AI8" s="2526"/>
      <c r="AJ8" s="2438">
        <v>1</v>
      </c>
      <c r="AK8" s="2527" t="s">
        <v>22</v>
      </c>
      <c r="AL8" s="2344" t="s">
        <v>64</v>
      </c>
      <c r="AM8" s="2428"/>
      <c r="AN8" s="2438">
        <v>1</v>
      </c>
      <c r="AO8" s="2557"/>
      <c r="AP8" s="2558" t="s">
        <v>64</v>
      </c>
      <c r="AQ8" s="248"/>
      <c r="AR8" s="1405">
        <v>1</v>
      </c>
      <c r="AS8" s="1411" t="s">
        <v>22</v>
      </c>
      <c r="AT8" s="688"/>
      <c r="AU8" s="1176"/>
      <c r="AV8" s="688"/>
      <c r="AW8" s="1176"/>
      <c r="AX8" s="1652"/>
      <c r="AY8" s="1388" t="s">
        <v>64</v>
      </c>
      <c r="AZ8" s="1652"/>
      <c r="BA8" s="1388" t="s">
        <v>64</v>
      </c>
      <c r="BB8" s="1267"/>
      <c r="BC8" s="2478" t="s">
        <v>499</v>
      </c>
      <c r="BE8" s="437"/>
      <c r="BF8" s="437" t="str">
        <f t="shared" si="0"/>
        <v/>
      </c>
      <c r="BG8" s="437"/>
      <c r="BH8" s="437"/>
      <c r="BI8" s="1074">
        <v>0</v>
      </c>
    </row>
    <row r="9" spans="1:61" ht="11.25" hidden="1" customHeight="1">
      <c r="A9" s="1282"/>
      <c r="B9" s="1282"/>
      <c r="C9" s="1282"/>
      <c r="D9" s="1282"/>
      <c r="E9" s="2484"/>
      <c r="F9" s="2484"/>
      <c r="G9" s="2484"/>
      <c r="H9" s="2484"/>
      <c r="I9" s="2504"/>
      <c r="J9" s="2504"/>
      <c r="K9" s="2481"/>
      <c r="L9" s="1283"/>
      <c r="P9" s="2482"/>
      <c r="Q9" s="2482"/>
      <c r="R9" s="2547"/>
      <c r="S9" s="2542"/>
      <c r="T9" s="2561"/>
      <c r="U9" s="237"/>
      <c r="V9" s="1312"/>
      <c r="W9" s="1415"/>
      <c r="X9" s="1312"/>
      <c r="Y9" s="1415"/>
      <c r="Z9" s="1312"/>
      <c r="AA9" s="1312"/>
      <c r="AB9" s="1312"/>
      <c r="AC9" s="1312"/>
      <c r="AD9" s="2422"/>
      <c r="AE9" s="2526"/>
      <c r="AF9" s="2438"/>
      <c r="AG9" s="2563"/>
      <c r="AH9" s="2344"/>
      <c r="AI9" s="2526"/>
      <c r="AJ9" s="2438"/>
      <c r="AK9" s="2527"/>
      <c r="AL9" s="2344"/>
      <c r="AM9" s="2433"/>
      <c r="AN9" s="2438"/>
      <c r="AO9" s="2557"/>
      <c r="AP9" s="2559"/>
      <c r="AQ9" s="253"/>
      <c r="AR9" s="353"/>
      <c r="AS9" s="353" t="s">
        <v>500</v>
      </c>
      <c r="AT9" s="1312"/>
      <c r="AU9" s="1415"/>
      <c r="AV9" s="1312"/>
      <c r="AW9" s="1415"/>
      <c r="AX9" s="1312"/>
      <c r="AY9" s="1312"/>
      <c r="AZ9" s="1312"/>
      <c r="BA9" s="1312"/>
      <c r="BB9" s="1316"/>
      <c r="BC9" s="2479"/>
      <c r="BE9" s="437"/>
      <c r="BF9" s="437"/>
      <c r="BG9" s="437"/>
      <c r="BH9" s="437"/>
      <c r="BI9" s="1074">
        <v>0</v>
      </c>
    </row>
    <row r="10" spans="1:61" ht="11.25" hidden="1" customHeight="1">
      <c r="A10" s="1282"/>
      <c r="B10" s="1282"/>
      <c r="C10" s="1282"/>
      <c r="D10" s="1282"/>
      <c r="E10" s="2484"/>
      <c r="F10" s="2484"/>
      <c r="G10" s="2484"/>
      <c r="H10" s="2484"/>
      <c r="I10" s="2504"/>
      <c r="J10" s="2504"/>
      <c r="K10" s="2481"/>
      <c r="L10" s="1283"/>
      <c r="P10" s="2482"/>
      <c r="Q10" s="2482"/>
      <c r="R10" s="2547"/>
      <c r="S10" s="2542"/>
      <c r="T10" s="2561"/>
      <c r="U10" s="237"/>
      <c r="V10" s="1312"/>
      <c r="W10" s="1415"/>
      <c r="X10" s="1312"/>
      <c r="Y10" s="1415"/>
      <c r="Z10" s="1312"/>
      <c r="AA10" s="1312"/>
      <c r="AB10" s="1312"/>
      <c r="AC10" s="1312"/>
      <c r="AD10" s="2422"/>
      <c r="AE10" s="2526"/>
      <c r="AF10" s="2438"/>
      <c r="AG10" s="2563"/>
      <c r="AH10" s="2344"/>
      <c r="AI10" s="2526"/>
      <c r="AJ10" s="2438"/>
      <c r="AK10" s="2527"/>
      <c r="AL10" s="2344"/>
      <c r="AM10" s="253"/>
      <c r="AN10" s="1419"/>
      <c r="AO10" s="1419" t="s">
        <v>520</v>
      </c>
      <c r="AP10" s="353"/>
      <c r="AQ10" s="353"/>
      <c r="AR10" s="353"/>
      <c r="AS10" s="1312"/>
      <c r="AT10" s="1312"/>
      <c r="AU10" s="1415"/>
      <c r="AV10" s="1312"/>
      <c r="AW10" s="1415"/>
      <c r="AX10" s="1312"/>
      <c r="AY10" s="1312"/>
      <c r="AZ10" s="1312"/>
      <c r="BA10" s="1312"/>
      <c r="BB10" s="1316"/>
      <c r="BC10" s="2479"/>
      <c r="BE10" s="437"/>
      <c r="BF10" s="437"/>
      <c r="BG10" s="437"/>
      <c r="BH10" s="437"/>
      <c r="BI10" s="1074">
        <v>0</v>
      </c>
    </row>
    <row r="11" spans="1:61" ht="11.25" hidden="1" customHeight="1">
      <c r="A11" s="1282"/>
      <c r="B11" s="1282"/>
      <c r="C11" s="1282"/>
      <c r="D11" s="1282"/>
      <c r="E11" s="2484"/>
      <c r="F11" s="2484"/>
      <c r="G11" s="2484"/>
      <c r="H11" s="2484"/>
      <c r="I11" s="2504"/>
      <c r="J11" s="2504"/>
      <c r="K11" s="2481"/>
      <c r="L11" s="1283"/>
      <c r="P11" s="2482"/>
      <c r="Q11" s="2482"/>
      <c r="R11" s="2547"/>
      <c r="S11" s="2542"/>
      <c r="T11" s="2561"/>
      <c r="U11" s="237"/>
      <c r="V11" s="1312"/>
      <c r="W11" s="1415"/>
      <c r="X11" s="1312"/>
      <c r="Y11" s="1415"/>
      <c r="Z11" s="1312"/>
      <c r="AA11" s="1312"/>
      <c r="AB11" s="1312"/>
      <c r="AC11" s="1312"/>
      <c r="AD11" s="2422"/>
      <c r="AE11" s="2526"/>
      <c r="AF11" s="2438"/>
      <c r="AG11" s="2563"/>
      <c r="AH11" s="2344"/>
      <c r="AI11" s="231"/>
      <c r="AJ11" s="352"/>
      <c r="AK11" s="250" t="s">
        <v>521</v>
      </c>
      <c r="AL11" s="1312"/>
      <c r="AM11" s="1312"/>
      <c r="AN11" s="1312"/>
      <c r="AO11" s="1312"/>
      <c r="AP11" s="1312"/>
      <c r="AQ11" s="1312"/>
      <c r="AR11" s="1312"/>
      <c r="AS11" s="1312"/>
      <c r="AT11" s="1312"/>
      <c r="AU11" s="1415"/>
      <c r="AV11" s="1312"/>
      <c r="AW11" s="1415"/>
      <c r="AX11" s="1312"/>
      <c r="AY11" s="1312"/>
      <c r="AZ11" s="1312"/>
      <c r="BA11" s="1312"/>
      <c r="BB11" s="1316"/>
      <c r="BC11" s="2479"/>
      <c r="BE11" s="437"/>
      <c r="BF11" s="437"/>
      <c r="BG11" s="437"/>
      <c r="BH11" s="437"/>
      <c r="BI11" s="1074">
        <v>0</v>
      </c>
    </row>
    <row r="12" spans="1:61" ht="11.25" hidden="1" customHeight="1">
      <c r="A12" s="1282"/>
      <c r="B12" s="1282"/>
      <c r="C12" s="1282"/>
      <c r="D12" s="1282"/>
      <c r="E12" s="2484"/>
      <c r="F12" s="2484"/>
      <c r="G12" s="2484"/>
      <c r="H12" s="2484"/>
      <c r="I12" s="2504"/>
      <c r="J12" s="2504"/>
      <c r="K12" s="2481"/>
      <c r="L12" s="1283"/>
      <c r="P12" s="2482"/>
      <c r="Q12" s="2482"/>
      <c r="R12" s="2547"/>
      <c r="S12" s="2543"/>
      <c r="T12" s="2562"/>
      <c r="U12" s="237"/>
      <c r="V12" s="1312"/>
      <c r="W12" s="1313" t="str">
        <f>Z8&amp;"-"&amp;AB8</f>
        <v>-</v>
      </c>
      <c r="X12" s="1312"/>
      <c r="Y12" s="1313" t="str">
        <f>AB8&amp;"-"&amp;AD8</f>
        <v>-да</v>
      </c>
      <c r="Z12" s="1312"/>
      <c r="AA12" s="1312"/>
      <c r="AB12" s="1312"/>
      <c r="AC12" s="1312"/>
      <c r="AD12" s="2349"/>
      <c r="AE12" s="249"/>
      <c r="AF12" s="251"/>
      <c r="AG12" s="353" t="s">
        <v>503</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479"/>
      <c r="BE12" s="437"/>
      <c r="BF12" s="437" t="str">
        <f t="shared" ref="BF12:BF18" si="1">IF(T12="","",T12)</f>
        <v/>
      </c>
      <c r="BG12" s="437"/>
      <c r="BH12" s="437"/>
      <c r="BI12" s="1074">
        <v>0</v>
      </c>
    </row>
    <row r="13" spans="1:61" ht="11.25" hidden="1" customHeight="1">
      <c r="A13" s="1282"/>
      <c r="B13" s="1282"/>
      <c r="C13" s="1282"/>
      <c r="D13" s="1282"/>
      <c r="E13" s="2484"/>
      <c r="F13" s="2484"/>
      <c r="G13" s="2484"/>
      <c r="H13" s="2484"/>
      <c r="I13" s="2504"/>
      <c r="J13" s="2481"/>
      <c r="K13" s="1282"/>
      <c r="L13" s="1283"/>
      <c r="P13" s="2482"/>
      <c r="Q13" s="2482"/>
      <c r="R13" s="293"/>
      <c r="S13" s="1197"/>
      <c r="T13" s="224" t="s">
        <v>466</v>
      </c>
      <c r="U13" s="304"/>
      <c r="V13" s="304"/>
      <c r="W13" s="304"/>
      <c r="X13" s="304"/>
      <c r="Y13" s="304"/>
      <c r="Z13" s="304"/>
      <c r="AA13" s="304"/>
      <c r="AB13" s="304"/>
      <c r="AC13" s="304"/>
      <c r="AD13" s="1424"/>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480"/>
      <c r="BE13" s="437"/>
      <c r="BF13" s="437" t="str">
        <f t="shared" si="1"/>
        <v>Добавить строку</v>
      </c>
      <c r="BG13" s="437"/>
      <c r="BH13" s="437"/>
      <c r="BI13" s="1074">
        <v>0</v>
      </c>
    </row>
    <row r="14" spans="1:61" s="2245" customFormat="1" ht="14.25" hidden="1" customHeight="1">
      <c r="A14" s="1262"/>
      <c r="B14" s="1262"/>
      <c r="C14" s="1262"/>
      <c r="D14" s="1262"/>
      <c r="E14" s="2484"/>
      <c r="F14" s="2484"/>
      <c r="G14" s="2484"/>
      <c r="H14" s="2484"/>
      <c r="I14" s="2481"/>
      <c r="J14" s="1262"/>
      <c r="K14" s="1262"/>
      <c r="L14" s="1265"/>
      <c r="M14" s="447"/>
      <c r="N14" s="447"/>
      <c r="O14" s="447"/>
      <c r="P14" s="2482"/>
      <c r="Q14" s="1400"/>
      <c r="R14" s="293"/>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7"/>
      <c r="BF14" s="437" t="str">
        <f t="shared" si="1"/>
        <v/>
      </c>
      <c r="BG14" s="437"/>
      <c r="BH14" s="437"/>
      <c r="BI14" s="448">
        <v>0</v>
      </c>
    </row>
    <row r="15" spans="1:61" s="2245" customFormat="1" ht="14.25" hidden="1" customHeight="1">
      <c r="A15" s="1262"/>
      <c r="B15" s="1262"/>
      <c r="C15" s="1262"/>
      <c r="D15" s="1262"/>
      <c r="E15" s="2484"/>
      <c r="F15" s="2484"/>
      <c r="G15" s="2484"/>
      <c r="H15" s="2483"/>
      <c r="I15" s="1262"/>
      <c r="J15" s="1262"/>
      <c r="K15" s="1262"/>
      <c r="L15" s="1265"/>
      <c r="M15" s="1234"/>
      <c r="N15" s="1234"/>
      <c r="O15" s="455"/>
      <c r="P15" s="317"/>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7"/>
      <c r="BF15" s="437" t="str">
        <f t="shared" si="1"/>
        <v/>
      </c>
      <c r="BG15" s="437"/>
      <c r="BH15" s="437"/>
      <c r="BI15" s="448">
        <v>0</v>
      </c>
    </row>
    <row r="16" spans="1:61" s="2245" customFormat="1" ht="14.25" hidden="1" customHeight="1">
      <c r="A16" s="1262"/>
      <c r="B16" s="1262"/>
      <c r="C16" s="1262"/>
      <c r="D16" s="1233"/>
      <c r="E16" s="2484"/>
      <c r="F16" s="2484"/>
      <c r="G16" s="2483"/>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20"/>
      <c r="BF16" s="720" t="str">
        <f t="shared" si="1"/>
        <v/>
      </c>
      <c r="BG16" s="720"/>
      <c r="BH16" s="720"/>
      <c r="BI16" s="455">
        <v>0</v>
      </c>
    </row>
    <row r="17" spans="1:61" s="2245" customFormat="1" ht="14.25" hidden="1" customHeight="1">
      <c r="A17" s="1262"/>
      <c r="B17" s="1262"/>
      <c r="C17" s="1233"/>
      <c r="D17" s="1233"/>
      <c r="E17" s="2484"/>
      <c r="F17" s="2483"/>
      <c r="G17" s="1233"/>
      <c r="H17" s="1233"/>
      <c r="I17" s="1233"/>
      <c r="J17" s="1233"/>
      <c r="K17" s="1233"/>
      <c r="L17" s="1413"/>
      <c r="M17" s="1240"/>
      <c r="N17" s="1240"/>
      <c r="P17" s="1235"/>
      <c r="Q17" s="1236"/>
      <c r="R17" s="1235"/>
      <c r="S17" s="1241"/>
      <c r="T17" s="1244" t="s">
        <v>413</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20"/>
      <c r="BF17" s="720" t="str">
        <f t="shared" si="1"/>
        <v>Добавить централизованную систему для дифференциации</v>
      </c>
      <c r="BG17" s="720"/>
      <c r="BH17" s="720"/>
      <c r="BI17" s="455">
        <v>0</v>
      </c>
    </row>
    <row r="18" spans="1:61" s="2245" customFormat="1" ht="14.25" hidden="1" customHeight="1">
      <c r="A18" s="1262"/>
      <c r="B18" s="1262"/>
      <c r="C18" s="1262"/>
      <c r="D18" s="1262"/>
      <c r="E18" s="2483"/>
      <c r="F18" s="1262"/>
      <c r="G18" s="1262"/>
      <c r="H18" s="1262"/>
      <c r="I18" s="1262"/>
      <c r="J18" s="1262"/>
      <c r="K18" s="1262"/>
      <c r="L18" s="1265"/>
      <c r="M18" s="1240"/>
      <c r="N18" s="1240"/>
      <c r="O18" s="455"/>
      <c r="P18" s="317"/>
      <c r="Q18" s="1263"/>
      <c r="R18" s="317"/>
      <c r="S18" s="1241"/>
      <c r="T18" s="1244" t="s">
        <v>414</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7"/>
      <c r="BF18" s="437" t="str">
        <f t="shared" si="1"/>
        <v>Добавить территорию для дифференциации</v>
      </c>
      <c r="BG18" s="437"/>
      <c r="BH18" s="437"/>
      <c r="BI18" s="448">
        <v>0</v>
      </c>
    </row>
    <row r="19" spans="1:61" ht="14.25" hidden="1" customHeight="1">
      <c r="AC19" s="264"/>
      <c r="BA19" s="264"/>
      <c r="BI19" s="1074">
        <v>0</v>
      </c>
    </row>
    <row r="20" spans="1:61" ht="14.25" hidden="1" customHeight="1">
      <c r="AD20" s="1243" t="s">
        <v>19</v>
      </c>
      <c r="AE20" s="1420"/>
      <c r="AF20" s="485">
        <v>1</v>
      </c>
      <c r="AG20" s="1421"/>
      <c r="AH20" s="1243" t="s">
        <v>19</v>
      </c>
      <c r="AI20" s="1420"/>
      <c r="AJ20" s="485">
        <v>1</v>
      </c>
      <c r="AK20" s="1421"/>
      <c r="AL20" s="1243" t="s">
        <v>19</v>
      </c>
      <c r="AM20" s="1422"/>
      <c r="AN20" s="485">
        <v>1</v>
      </c>
      <c r="AO20" s="1423"/>
      <c r="AP20" s="1243" t="s">
        <v>19</v>
      </c>
      <c r="AQ20" s="1422"/>
      <c r="AR20" s="485">
        <v>1</v>
      </c>
      <c r="AS20" s="1423"/>
      <c r="AT20" s="262"/>
      <c r="AU20" s="321"/>
      <c r="AV20" s="262"/>
      <c r="AW20" s="321"/>
      <c r="AX20" s="1654"/>
      <c r="AY20" s="1404" t="s">
        <v>64</v>
      </c>
      <c r="AZ20" s="1654"/>
      <c r="BA20" s="1404" t="s">
        <v>64</v>
      </c>
      <c r="BI20" s="1074">
        <v>0</v>
      </c>
    </row>
    <row r="21" spans="1:61" ht="14.25" hidden="1" customHeight="1">
      <c r="BD21" s="433"/>
      <c r="BE21" s="433"/>
      <c r="BF21" s="433"/>
      <c r="BG21" s="433"/>
      <c r="BH21" s="433"/>
      <c r="BI21" s="1074">
        <v>0</v>
      </c>
    </row>
    <row r="22" spans="1:61" ht="14.25" hidden="1" customHeight="1">
      <c r="O22" s="1286" t="s">
        <v>415</v>
      </c>
      <c r="Z22" s="1264"/>
      <c r="AB22" s="1264"/>
      <c r="AC22" s="264"/>
      <c r="AX22" s="1264"/>
      <c r="AZ22" s="1264"/>
      <c r="BA22" s="264"/>
      <c r="BD22" s="433"/>
      <c r="BE22" s="433"/>
      <c r="BF22" s="433"/>
      <c r="BG22" s="433"/>
      <c r="BH22" s="433"/>
      <c r="BI22" s="1074">
        <v>0</v>
      </c>
    </row>
    <row r="23" spans="1:61" ht="14.25" hidden="1" customHeight="1">
      <c r="AC23" s="264"/>
      <c r="BA23" s="264"/>
      <c r="BD23" s="433"/>
      <c r="BE23" s="433"/>
      <c r="BF23" s="433"/>
      <c r="BG23" s="433"/>
      <c r="BH23" s="433"/>
      <c r="BI23" s="1074">
        <v>0</v>
      </c>
    </row>
    <row r="24" spans="1:61" s="2275" customFormat="1" ht="14.25" hidden="1" customHeight="1">
      <c r="M24" s="1427"/>
      <c r="N24" s="1427"/>
      <c r="O24" s="1428" t="s">
        <v>416</v>
      </c>
      <c r="P24" s="1427"/>
      <c r="Q24" s="1429"/>
      <c r="R24" s="1429"/>
      <c r="AA24" s="1426" t="s">
        <v>418</v>
      </c>
      <c r="AC24" s="1426" t="s">
        <v>419</v>
      </c>
      <c r="AD24" s="1426" t="s">
        <v>467</v>
      </c>
      <c r="AH24" s="1426" t="s">
        <v>467</v>
      </c>
      <c r="AK24" s="1426" t="s">
        <v>504</v>
      </c>
      <c r="AL24" s="1426" t="s">
        <v>467</v>
      </c>
      <c r="AP24" s="1426" t="s">
        <v>467</v>
      </c>
      <c r="AY24" s="1426" t="s">
        <v>418</v>
      </c>
      <c r="BA24" s="1426" t="s">
        <v>419</v>
      </c>
      <c r="BD24" s="1430"/>
      <c r="BE24" s="1430"/>
      <c r="BF24" s="1430"/>
      <c r="BG24" s="1430"/>
      <c r="BH24" s="1430"/>
      <c r="BI24" s="1426">
        <v>0</v>
      </c>
    </row>
    <row r="25" spans="1:61" ht="14.25" hidden="1" customHeight="1">
      <c r="O25" s="1283"/>
      <c r="BD25" s="433"/>
      <c r="BE25" s="433"/>
      <c r="BF25" s="433"/>
      <c r="BG25" s="433"/>
      <c r="BH25" s="433"/>
      <c r="BI25" s="1074">
        <v>0</v>
      </c>
    </row>
    <row r="26" spans="1:61" ht="14.25" hidden="1" customHeight="1">
      <c r="O26" s="1283"/>
      <c r="BD26" s="433"/>
      <c r="BE26" s="433"/>
      <c r="BF26" s="433"/>
      <c r="BG26" s="433"/>
      <c r="BH26" s="433"/>
      <c r="BI26" s="1074">
        <v>0</v>
      </c>
    </row>
    <row r="27" spans="1:61" ht="14.65" customHeight="1">
      <c r="Q27" s="228"/>
      <c r="R27" s="313"/>
      <c r="S27" s="1194"/>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74">
        <v>14</v>
      </c>
    </row>
    <row r="28" spans="1:61" ht="14.65" customHeight="1">
      <c r="Q28" s="228"/>
      <c r="R28" s="313"/>
      <c r="S28" s="2467"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467"/>
      <c r="U28" s="2467"/>
      <c r="V28" s="2467"/>
      <c r="W28" s="2467"/>
      <c r="X28" s="2467"/>
      <c r="Y28" s="2467"/>
      <c r="Z28" s="2467"/>
      <c r="AA28" s="2467"/>
      <c r="AB28" s="2467"/>
      <c r="AC28" s="2467"/>
      <c r="AD28" s="2467"/>
      <c r="AE28" s="2467"/>
      <c r="AF28" s="2467"/>
      <c r="AG28" s="2467"/>
      <c r="AH28" s="2467"/>
      <c r="AI28" s="2467"/>
      <c r="AJ28" s="2467"/>
      <c r="AK28" s="2467"/>
      <c r="AL28" s="2467"/>
      <c r="AM28" s="2467"/>
      <c r="AN28" s="2467"/>
      <c r="AO28" s="2467"/>
      <c r="AP28" s="2467"/>
      <c r="AQ28" s="2467"/>
      <c r="AR28" s="2467"/>
      <c r="AS28" s="2467"/>
      <c r="AT28" s="2467"/>
      <c r="AU28" s="2467"/>
      <c r="AV28" s="2467"/>
      <c r="AW28" s="2467"/>
      <c r="AX28" s="2467"/>
      <c r="AY28" s="2467"/>
      <c r="AZ28" s="2467"/>
      <c r="BA28" s="1162"/>
      <c r="BI28" s="1074">
        <v>14</v>
      </c>
    </row>
    <row r="29" spans="1:61" ht="14.65" customHeight="1">
      <c r="Q29" s="228"/>
      <c r="R29" s="313"/>
      <c r="S29" s="2412" t="str">
        <f>IF(org=0,"Не определено",org)</f>
        <v>МУП "Водоканал"</v>
      </c>
      <c r="T29" s="2412"/>
      <c r="U29" s="2412"/>
      <c r="V29" s="2412"/>
      <c r="W29" s="2412"/>
      <c r="X29" s="2412"/>
      <c r="Y29" s="2412"/>
      <c r="Z29" s="2412"/>
      <c r="AA29" s="2412"/>
      <c r="AB29" s="2412"/>
      <c r="AC29" s="2412"/>
      <c r="AD29" s="2412"/>
      <c r="AE29" s="2412"/>
      <c r="AF29" s="2412"/>
      <c r="AG29" s="2412"/>
      <c r="AH29" s="2412"/>
      <c r="AI29" s="2412"/>
      <c r="AJ29" s="2412"/>
      <c r="AK29" s="2412"/>
      <c r="AL29" s="2412"/>
      <c r="AM29" s="2412"/>
      <c r="AN29" s="2412"/>
      <c r="AO29" s="2412"/>
      <c r="AP29" s="2412"/>
      <c r="AQ29" s="2412"/>
      <c r="AR29" s="2412"/>
      <c r="AS29" s="2412"/>
      <c r="AT29" s="2412"/>
      <c r="AU29" s="2412"/>
      <c r="AV29" s="2412"/>
      <c r="AW29" s="2412"/>
      <c r="AX29" s="2412"/>
      <c r="AY29" s="2412"/>
      <c r="AZ29" s="2412"/>
      <c r="BA29" s="1162"/>
      <c r="BI29" s="1074">
        <v>14</v>
      </c>
    </row>
    <row r="30" spans="1:61" ht="14.25" hidden="1" customHeight="1">
      <c r="Q30" s="228"/>
      <c r="R30" s="313"/>
      <c r="S30" s="1194"/>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74">
        <v>0</v>
      </c>
    </row>
    <row r="31" spans="1:61" s="2254" customFormat="1" ht="25.5" hidden="1" customHeight="1">
      <c r="A31" s="1287"/>
      <c r="B31" s="1287"/>
      <c r="C31" s="1287"/>
      <c r="D31" s="1287"/>
      <c r="E31" s="1287"/>
      <c r="F31" s="1287"/>
      <c r="G31" s="1287"/>
      <c r="H31" s="1287"/>
      <c r="I31" s="1287"/>
      <c r="J31" s="1287"/>
      <c r="K31" s="1287"/>
      <c r="L31" s="1288"/>
      <c r="M31" s="1287"/>
      <c r="N31" s="1287"/>
      <c r="O31" s="1287"/>
      <c r="P31" s="1287"/>
      <c r="Q31" s="1287"/>
      <c r="S31" s="2475" t="s">
        <v>41</v>
      </c>
      <c r="T31" s="2475"/>
      <c r="U31" s="1291"/>
      <c r="V31" s="2476" t="str">
        <f>IF(TITLE_NAME_OR_PR_CHANGE="",IF(TITLE_NAME_OR_PR="","",TITLE_NAME_OR_PR),TITLE_NAME_OR_PR_CHANGE)</f>
        <v/>
      </c>
      <c r="W31" s="2476"/>
      <c r="X31" s="2476"/>
      <c r="Y31" s="2476"/>
      <c r="Z31" s="2476"/>
      <c r="AA31" s="2476"/>
      <c r="AB31" s="2476"/>
      <c r="AC31" s="263"/>
      <c r="AD31" s="2476" t="str">
        <f>IF(TITLE_NAME_OR_PR_CHANGE="",IF(TITLE_NAME_OR_PR="","",TITLE_NAME_OR_PR),TITLE_NAME_OR_PR_CHANGE)</f>
        <v/>
      </c>
      <c r="AE31" s="2476"/>
      <c r="AF31" s="2476"/>
      <c r="AG31" s="2476"/>
      <c r="AH31" s="2476"/>
      <c r="AI31" s="2476"/>
      <c r="AJ31" s="2476"/>
      <c r="AK31" s="2476"/>
      <c r="AL31" s="2476"/>
      <c r="AM31" s="2476"/>
      <c r="AN31" s="2476"/>
      <c r="AO31" s="2476"/>
      <c r="AP31" s="2476"/>
      <c r="AQ31" s="2476"/>
      <c r="AR31" s="2476"/>
      <c r="AS31" s="2476"/>
      <c r="AT31" s="2476"/>
      <c r="AU31" s="2476"/>
      <c r="AV31" s="2476"/>
      <c r="AW31" s="2476"/>
      <c r="AX31" s="2476"/>
      <c r="AY31" s="2476"/>
      <c r="AZ31" s="2476"/>
      <c r="BA31" s="263"/>
      <c r="BB31" s="263"/>
      <c r="BC31" s="217"/>
      <c r="BD31" s="305"/>
      <c r="BE31" s="305"/>
      <c r="BF31" s="305"/>
      <c r="BG31" s="305"/>
      <c r="BH31" s="305"/>
      <c r="BI31" s="355">
        <v>0</v>
      </c>
    </row>
    <row r="32" spans="1:61" s="2254" customFormat="1" ht="18.75" hidden="1" customHeight="1">
      <c r="A32" s="1287"/>
      <c r="B32" s="1287"/>
      <c r="C32" s="1287"/>
      <c r="D32" s="1287"/>
      <c r="E32" s="1287"/>
      <c r="F32" s="1287"/>
      <c r="G32" s="1287"/>
      <c r="H32" s="1287"/>
      <c r="I32" s="1287"/>
      <c r="J32" s="1287"/>
      <c r="K32" s="1287"/>
      <c r="L32" s="1288"/>
      <c r="M32" s="1287"/>
      <c r="N32" s="1287"/>
      <c r="O32" s="1287"/>
      <c r="P32" s="1287"/>
      <c r="Q32" s="1287"/>
      <c r="S32" s="2475" t="s">
        <v>421</v>
      </c>
      <c r="T32" s="2475"/>
      <c r="U32" s="1291"/>
      <c r="V32" s="2485" t="str">
        <f>IF(TITLE_DATE_PR_CHANGE="",IF(TITLE_DATE_PR="","",TITLE_DATE_PR),TITLE_DATE_PR_CHANGE)</f>
        <v/>
      </c>
      <c r="W32" s="2485"/>
      <c r="X32" s="2485"/>
      <c r="Y32" s="2485"/>
      <c r="Z32" s="2485"/>
      <c r="AA32" s="2485"/>
      <c r="AB32" s="2485"/>
      <c r="AC32" s="263"/>
      <c r="AD32" s="2485" t="str">
        <f>IF(TITLE_DATE_PR_CHANGE="",IF(TITLE_DATE_PR="","",TITLE_DATE_PR),TITLE_DATE_PR_CHANGE)</f>
        <v/>
      </c>
      <c r="AE32" s="2485"/>
      <c r="AF32" s="2485"/>
      <c r="AG32" s="2485"/>
      <c r="AH32" s="2485"/>
      <c r="AI32" s="2485"/>
      <c r="AJ32" s="2485"/>
      <c r="AK32" s="2485"/>
      <c r="AL32" s="2485"/>
      <c r="AM32" s="2485"/>
      <c r="AN32" s="2485"/>
      <c r="AO32" s="2485"/>
      <c r="AP32" s="2485"/>
      <c r="AQ32" s="2485"/>
      <c r="AR32" s="2485"/>
      <c r="AS32" s="2485"/>
      <c r="AT32" s="2485"/>
      <c r="AU32" s="2485"/>
      <c r="AV32" s="2485"/>
      <c r="AW32" s="2485"/>
      <c r="AX32" s="2485"/>
      <c r="AY32" s="2485"/>
      <c r="AZ32" s="2485"/>
      <c r="BA32" s="263"/>
      <c r="BB32" s="263"/>
      <c r="BC32" s="217"/>
      <c r="BD32" s="305"/>
      <c r="BE32" s="305"/>
      <c r="BF32" s="305"/>
      <c r="BG32" s="305"/>
      <c r="BH32" s="305"/>
      <c r="BI32" s="355">
        <v>0</v>
      </c>
    </row>
    <row r="33" spans="1:61" s="2254" customFormat="1" ht="18.75" hidden="1" customHeight="1">
      <c r="A33" s="1287"/>
      <c r="B33" s="1287"/>
      <c r="C33" s="1287"/>
      <c r="D33" s="1287"/>
      <c r="E33" s="1287"/>
      <c r="F33" s="1287"/>
      <c r="G33" s="1287"/>
      <c r="H33" s="1287"/>
      <c r="I33" s="1287"/>
      <c r="J33" s="1287"/>
      <c r="K33" s="1287"/>
      <c r="L33" s="1288"/>
      <c r="M33" s="1287"/>
      <c r="N33" s="1287"/>
      <c r="O33" s="1287"/>
      <c r="P33" s="1287"/>
      <c r="Q33" s="1287"/>
      <c r="S33" s="2475" t="s">
        <v>422</v>
      </c>
      <c r="T33" s="2475"/>
      <c r="U33" s="1291"/>
      <c r="V33" s="2476" t="str">
        <f>IF(TITLE_NUMBER_PR_CHANGE="",IF(TITLE_NUMBER_PR="","",TITLE_NUMBER_PR),TITLE_NUMBER_PR_CHANGE)</f>
        <v/>
      </c>
      <c r="W33" s="2476"/>
      <c r="X33" s="2476"/>
      <c r="Y33" s="2476"/>
      <c r="Z33" s="2476"/>
      <c r="AA33" s="2476"/>
      <c r="AB33" s="2476"/>
      <c r="AC33" s="263"/>
      <c r="AD33" s="2476" t="str">
        <f>IF(TITLE_NUMBER_PR_CHANGE="",IF(TITLE_NUMBER_PR="","",TITLE_NUMBER_PR),TITLE_NUMBER_PR_CHANGE)</f>
        <v/>
      </c>
      <c r="AE33" s="2476"/>
      <c r="AF33" s="2476"/>
      <c r="AG33" s="2476"/>
      <c r="AH33" s="2476"/>
      <c r="AI33" s="2476"/>
      <c r="AJ33" s="2476"/>
      <c r="AK33" s="2476"/>
      <c r="AL33" s="2476"/>
      <c r="AM33" s="2476"/>
      <c r="AN33" s="2476"/>
      <c r="AO33" s="2476"/>
      <c r="AP33" s="2476"/>
      <c r="AQ33" s="2476"/>
      <c r="AR33" s="2476"/>
      <c r="AS33" s="2476"/>
      <c r="AT33" s="2476"/>
      <c r="AU33" s="2476"/>
      <c r="AV33" s="2476"/>
      <c r="AW33" s="2476"/>
      <c r="AX33" s="2476"/>
      <c r="AY33" s="2476"/>
      <c r="AZ33" s="2476"/>
      <c r="BA33" s="263"/>
      <c r="BB33" s="263"/>
      <c r="BC33" s="217"/>
      <c r="BD33" s="305"/>
      <c r="BE33" s="305"/>
      <c r="BF33" s="305"/>
      <c r="BG33" s="305"/>
      <c r="BH33" s="305"/>
      <c r="BI33" s="355">
        <v>0</v>
      </c>
    </row>
    <row r="34" spans="1:61" s="2254" customFormat="1" ht="18.75" hidden="1" customHeight="1">
      <c r="A34" s="1287"/>
      <c r="B34" s="1287"/>
      <c r="C34" s="1287"/>
      <c r="D34" s="1287"/>
      <c r="E34" s="1287"/>
      <c r="F34" s="1287"/>
      <c r="G34" s="1287"/>
      <c r="H34" s="1287"/>
      <c r="I34" s="1287"/>
      <c r="J34" s="1287"/>
      <c r="K34" s="1287"/>
      <c r="L34" s="1288"/>
      <c r="M34" s="1287"/>
      <c r="N34" s="1287"/>
      <c r="O34" s="1287"/>
      <c r="P34" s="1287"/>
      <c r="Q34" s="1287"/>
      <c r="S34" s="2475" t="s">
        <v>42</v>
      </c>
      <c r="T34" s="2475"/>
      <c r="U34" s="1291"/>
      <c r="V34" s="2476" t="str">
        <f>IF(TITLE_IST_PUB_CHANGE="",IF(TITLE_IST_PUB="","",TITLE_IST_PUB),TITLE_IST_PUB_CHANGE)</f>
        <v/>
      </c>
      <c r="W34" s="2476"/>
      <c r="X34" s="2476"/>
      <c r="Y34" s="2476"/>
      <c r="Z34" s="2476"/>
      <c r="AA34" s="2476"/>
      <c r="AB34" s="2476"/>
      <c r="AC34" s="263"/>
      <c r="AD34" s="2476" t="str">
        <f>IF(TITLE_IST_PUB_CHANGE="",IF(TITLE_IST_PUB="","",TITLE_IST_PUB),TITLE_IST_PUB_CHANGE)</f>
        <v/>
      </c>
      <c r="AE34" s="2476"/>
      <c r="AF34" s="2476"/>
      <c r="AG34" s="2476"/>
      <c r="AH34" s="2476"/>
      <c r="AI34" s="2476"/>
      <c r="AJ34" s="2476"/>
      <c r="AK34" s="2476"/>
      <c r="AL34" s="2476"/>
      <c r="AM34" s="2476"/>
      <c r="AN34" s="2476"/>
      <c r="AO34" s="2476"/>
      <c r="AP34" s="2476"/>
      <c r="AQ34" s="2476"/>
      <c r="AR34" s="2476"/>
      <c r="AS34" s="2476"/>
      <c r="AT34" s="2476"/>
      <c r="AU34" s="2476"/>
      <c r="AV34" s="2476"/>
      <c r="AW34" s="2476"/>
      <c r="AX34" s="2476"/>
      <c r="AY34" s="2476"/>
      <c r="AZ34" s="2476"/>
      <c r="BA34" s="263"/>
      <c r="BB34" s="263"/>
      <c r="BC34" s="217"/>
      <c r="BD34" s="305"/>
      <c r="BE34" s="305"/>
      <c r="BF34" s="305"/>
      <c r="BG34" s="305"/>
      <c r="BH34" s="305"/>
      <c r="BI34" s="355">
        <v>0</v>
      </c>
    </row>
    <row r="35" spans="1:61" ht="14.25" hidden="1" customHeight="1">
      <c r="Q35" s="228"/>
      <c r="R35" s="313"/>
      <c r="S35" s="1194"/>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74">
        <v>0</v>
      </c>
    </row>
    <row r="36" spans="1:61" s="2254" customFormat="1" ht="18.75" hidden="1" customHeight="1">
      <c r="A36" s="1287"/>
      <c r="B36" s="1287"/>
      <c r="C36" s="1287"/>
      <c r="D36" s="1287"/>
      <c r="E36" s="1287"/>
      <c r="F36" s="1287"/>
      <c r="G36" s="1287"/>
      <c r="H36" s="1287"/>
      <c r="I36" s="1287"/>
      <c r="J36" s="1287"/>
      <c r="K36" s="1287"/>
      <c r="L36" s="1288"/>
      <c r="M36" s="1287"/>
      <c r="N36" s="1287"/>
      <c r="O36" s="1287"/>
      <c r="P36" s="1287"/>
      <c r="Q36" s="1287"/>
      <c r="S36" s="2475" t="s">
        <v>421</v>
      </c>
      <c r="T36" s="2475"/>
      <c r="U36" s="1291"/>
      <c r="V36" s="2485" t="str">
        <f>IF(TITLE_DATE_PR_CHANGE="",IF(TITLE_DATE_PR="","",TITLE_DATE_PR),TITLE_DATE_PR_CHANGE)</f>
        <v/>
      </c>
      <c r="W36" s="2485"/>
      <c r="X36" s="2485"/>
      <c r="Y36" s="2485"/>
      <c r="Z36" s="2485"/>
      <c r="AA36" s="2485"/>
      <c r="AB36" s="2485"/>
      <c r="AC36" s="263"/>
      <c r="AD36" s="2485" t="str">
        <f>IF(TITLE_DATE_PR_CHANGE="",IF(TITLE_DATE_PR="","",TITLE_DATE_PR),TITLE_DATE_PR_CHANGE)</f>
        <v/>
      </c>
      <c r="AE36" s="2485"/>
      <c r="AF36" s="2485"/>
      <c r="AG36" s="2485"/>
      <c r="AH36" s="2485"/>
      <c r="AI36" s="2485"/>
      <c r="AJ36" s="2485"/>
      <c r="AK36" s="2485"/>
      <c r="AL36" s="2485"/>
      <c r="AM36" s="2485"/>
      <c r="AN36" s="2485"/>
      <c r="AO36" s="2485"/>
      <c r="AP36" s="2485"/>
      <c r="AQ36" s="2485"/>
      <c r="AR36" s="2485"/>
      <c r="AS36" s="2485"/>
      <c r="AT36" s="2485"/>
      <c r="AU36" s="2485"/>
      <c r="AV36" s="2485"/>
      <c r="AW36" s="2485"/>
      <c r="AX36" s="2485"/>
      <c r="AY36" s="2485"/>
      <c r="AZ36" s="2485"/>
      <c r="BA36" s="263"/>
      <c r="BB36" s="263"/>
      <c r="BC36" s="217"/>
      <c r="BD36" s="305"/>
      <c r="BE36" s="305"/>
      <c r="BF36" s="305"/>
      <c r="BG36" s="305"/>
      <c r="BH36" s="305"/>
      <c r="BI36" s="355">
        <v>0</v>
      </c>
    </row>
    <row r="37" spans="1:61" s="2254" customFormat="1" ht="18.75" hidden="1" customHeight="1">
      <c r="A37" s="1287"/>
      <c r="B37" s="1287"/>
      <c r="C37" s="1287"/>
      <c r="D37" s="1287"/>
      <c r="E37" s="1287"/>
      <c r="F37" s="1287"/>
      <c r="G37" s="1287"/>
      <c r="H37" s="1287"/>
      <c r="I37" s="1287"/>
      <c r="J37" s="1287"/>
      <c r="K37" s="1287"/>
      <c r="L37" s="1288"/>
      <c r="M37" s="1287"/>
      <c r="N37" s="1287"/>
      <c r="O37" s="1287"/>
      <c r="P37" s="1287"/>
      <c r="Q37" s="1287"/>
      <c r="S37" s="2475" t="s">
        <v>422</v>
      </c>
      <c r="T37" s="2475"/>
      <c r="U37" s="1291"/>
      <c r="V37" s="2476" t="str">
        <f>IF(TITLE_NUMBER_PR_CHANGE="",IF(TITLE_NUMBER_PR="","",TITLE_NUMBER_PR),TITLE_NUMBER_PR_CHANGE)</f>
        <v/>
      </c>
      <c r="W37" s="2476"/>
      <c r="X37" s="2476"/>
      <c r="Y37" s="2476"/>
      <c r="Z37" s="2476"/>
      <c r="AA37" s="2476"/>
      <c r="AB37" s="2476"/>
      <c r="AC37" s="263"/>
      <c r="AD37" s="2476" t="str">
        <f>IF(TITLE_NUMBER_PR_CHANGE="",IF(TITLE_NUMBER_PR="","",TITLE_NUMBER_PR),TITLE_NUMBER_PR_CHANGE)</f>
        <v/>
      </c>
      <c r="AE37" s="2476"/>
      <c r="AF37" s="2476"/>
      <c r="AG37" s="2476"/>
      <c r="AH37" s="2476"/>
      <c r="AI37" s="2476"/>
      <c r="AJ37" s="2476"/>
      <c r="AK37" s="2476"/>
      <c r="AL37" s="2476"/>
      <c r="AM37" s="2476"/>
      <c r="AN37" s="2476"/>
      <c r="AO37" s="2476"/>
      <c r="AP37" s="2476"/>
      <c r="AQ37" s="2476"/>
      <c r="AR37" s="2476"/>
      <c r="AS37" s="2476"/>
      <c r="AT37" s="2476"/>
      <c r="AU37" s="2476"/>
      <c r="AV37" s="2476"/>
      <c r="AW37" s="2476"/>
      <c r="AX37" s="2476"/>
      <c r="AY37" s="2476"/>
      <c r="AZ37" s="2476"/>
      <c r="BA37" s="263"/>
      <c r="BB37" s="263"/>
      <c r="BC37" s="217"/>
      <c r="BD37" s="305"/>
      <c r="BE37" s="305"/>
      <c r="BF37" s="305"/>
      <c r="BG37" s="305"/>
      <c r="BH37" s="305"/>
      <c r="BI37" s="355">
        <v>0</v>
      </c>
    </row>
    <row r="38" spans="1:61" s="2254"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194"/>
      <c r="T39" s="300"/>
      <c r="U39" s="1163"/>
      <c r="V39" s="2477"/>
      <c r="W39" s="2477"/>
      <c r="X39" s="2477"/>
      <c r="Y39" s="2477"/>
      <c r="Z39" s="2477"/>
      <c r="AA39" s="2477"/>
      <c r="AB39" s="2477"/>
      <c r="AC39" s="2477"/>
      <c r="AD39" s="2477"/>
      <c r="AE39" s="2477"/>
      <c r="AF39" s="2477"/>
      <c r="AG39" s="2477"/>
      <c r="AH39" s="2477"/>
      <c r="AI39" s="2477"/>
      <c r="AJ39" s="2477"/>
      <c r="AK39" s="2477"/>
      <c r="AL39" s="2477"/>
      <c r="AM39" s="2477"/>
      <c r="AN39" s="2477"/>
      <c r="AO39" s="2477"/>
      <c r="AP39" s="2477"/>
      <c r="AQ39" s="2477"/>
      <c r="AR39" s="2477"/>
      <c r="AS39" s="2477"/>
      <c r="AT39" s="2477"/>
      <c r="AU39" s="2477"/>
      <c r="AV39" s="2477"/>
      <c r="AW39" s="2477"/>
      <c r="AX39" s="2477"/>
      <c r="AY39" s="2477"/>
      <c r="AZ39" s="2477"/>
      <c r="BA39" s="2477"/>
      <c r="BI39" s="1074">
        <v>14</v>
      </c>
    </row>
    <row r="40" spans="1:61" ht="14.65" customHeight="1">
      <c r="Q40" s="228"/>
      <c r="R40" s="313"/>
      <c r="S40" s="2363" t="s">
        <v>298</v>
      </c>
      <c r="T40" s="2363"/>
      <c r="U40" s="2363"/>
      <c r="V40" s="2363"/>
      <c r="W40" s="2363"/>
      <c r="X40" s="2363"/>
      <c r="Y40" s="2363"/>
      <c r="Z40" s="2363"/>
      <c r="AA40" s="2363"/>
      <c r="AB40" s="2363"/>
      <c r="AC40" s="2363"/>
      <c r="AD40" s="2363"/>
      <c r="AE40" s="2363"/>
      <c r="AF40" s="2363"/>
      <c r="AG40" s="2363"/>
      <c r="AH40" s="2363"/>
      <c r="AI40" s="2363"/>
      <c r="AJ40" s="2363"/>
      <c r="AK40" s="2363"/>
      <c r="AL40" s="2363"/>
      <c r="AM40" s="2363"/>
      <c r="AN40" s="2363"/>
      <c r="AO40" s="2363"/>
      <c r="AP40" s="2363"/>
      <c r="AQ40" s="2363"/>
      <c r="AR40" s="2363"/>
      <c r="AS40" s="2363"/>
      <c r="AT40" s="2363"/>
      <c r="AU40" s="2363"/>
      <c r="AV40" s="2363"/>
      <c r="AW40" s="2363"/>
      <c r="AX40" s="2363"/>
      <c r="AY40" s="2363"/>
      <c r="AZ40" s="2363"/>
      <c r="BA40" s="2363"/>
      <c r="BB40" s="2363"/>
      <c r="BC40" s="2363" t="s">
        <v>299</v>
      </c>
      <c r="BI40" s="1074">
        <v>14</v>
      </c>
    </row>
    <row r="41" spans="1:61" ht="14.65" customHeight="1">
      <c r="Q41" s="228"/>
      <c r="R41" s="313"/>
      <c r="S41" s="2491" t="s">
        <v>87</v>
      </c>
      <c r="T41" s="2442" t="s">
        <v>505</v>
      </c>
      <c r="U41" s="238"/>
      <c r="V41" s="2492" t="s">
        <v>427</v>
      </c>
      <c r="W41" s="2493"/>
      <c r="X41" s="2493"/>
      <c r="Y41" s="2493"/>
      <c r="Z41" s="2493"/>
      <c r="AA41" s="2493"/>
      <c r="AB41" s="2494"/>
      <c r="AC41" s="2495" t="s">
        <v>428</v>
      </c>
      <c r="AD41" s="2528" t="s">
        <v>522</v>
      </c>
      <c r="AE41" s="2509"/>
      <c r="AF41" s="2509"/>
      <c r="AG41" s="2529"/>
      <c r="AH41" s="2528" t="s">
        <v>523</v>
      </c>
      <c r="AI41" s="2509"/>
      <c r="AJ41" s="2509"/>
      <c r="AK41" s="2529"/>
      <c r="AL41" s="2528" t="s">
        <v>524</v>
      </c>
      <c r="AM41" s="2509"/>
      <c r="AN41" s="2509"/>
      <c r="AO41" s="2529"/>
      <c r="AP41" s="2528" t="s">
        <v>509</v>
      </c>
      <c r="AQ41" s="2509"/>
      <c r="AR41" s="2509"/>
      <c r="AS41" s="2529"/>
      <c r="AT41" s="2492" t="s">
        <v>427</v>
      </c>
      <c r="AU41" s="2493"/>
      <c r="AV41" s="2493"/>
      <c r="AW41" s="2493"/>
      <c r="AX41" s="2493"/>
      <c r="AY41" s="2493"/>
      <c r="AZ41" s="2494"/>
      <c r="BA41" s="2495" t="s">
        <v>428</v>
      </c>
      <c r="BB41" s="2498" t="s">
        <v>430</v>
      </c>
      <c r="BC41" s="2363"/>
      <c r="BI41" s="1074">
        <v>14</v>
      </c>
    </row>
    <row r="42" spans="1:61" ht="35.65" customHeight="1">
      <c r="Q42" s="228"/>
      <c r="R42" s="313"/>
      <c r="S42" s="2491"/>
      <c r="T42" s="2442"/>
      <c r="U42" s="955"/>
      <c r="V42" s="2428" t="s">
        <v>510</v>
      </c>
      <c r="W42" s="2429"/>
      <c r="X42" s="2428" t="s">
        <v>511</v>
      </c>
      <c r="Y42" s="2429"/>
      <c r="Z42" s="2428" t="s">
        <v>512</v>
      </c>
      <c r="AA42" s="2523"/>
      <c r="AB42" s="2429"/>
      <c r="AC42" s="2496"/>
      <c r="AD42" s="2530"/>
      <c r="AE42" s="2531"/>
      <c r="AF42" s="2531"/>
      <c r="AG42" s="2532"/>
      <c r="AH42" s="2530"/>
      <c r="AI42" s="2531"/>
      <c r="AJ42" s="2531"/>
      <c r="AK42" s="2532"/>
      <c r="AL42" s="2530"/>
      <c r="AM42" s="2531"/>
      <c r="AN42" s="2531"/>
      <c r="AO42" s="2532"/>
      <c r="AP42" s="2530"/>
      <c r="AQ42" s="2531"/>
      <c r="AR42" s="2531"/>
      <c r="AS42" s="2532"/>
      <c r="AT42" s="2428" t="s">
        <v>525</v>
      </c>
      <c r="AU42" s="2429"/>
      <c r="AV42" s="2428" t="s">
        <v>526</v>
      </c>
      <c r="AW42" s="2429"/>
      <c r="AX42" s="2428" t="s">
        <v>512</v>
      </c>
      <c r="AY42" s="2523"/>
      <c r="AZ42" s="2429"/>
      <c r="BA42" s="2496"/>
      <c r="BB42" s="2499"/>
      <c r="BC42" s="2363"/>
      <c r="BI42" s="1074">
        <v>34</v>
      </c>
    </row>
    <row r="43" spans="1:61" ht="14.65" customHeight="1">
      <c r="Q43" s="228"/>
      <c r="R43" s="313"/>
      <c r="S43" s="2491"/>
      <c r="T43" s="2442"/>
      <c r="U43" s="955"/>
      <c r="V43" s="2433"/>
      <c r="W43" s="2434"/>
      <c r="X43" s="2433"/>
      <c r="Y43" s="2434"/>
      <c r="Z43" s="2433"/>
      <c r="AA43" s="2524"/>
      <c r="AB43" s="2434"/>
      <c r="AC43" s="2496"/>
      <c r="AD43" s="2530"/>
      <c r="AE43" s="2531"/>
      <c r="AF43" s="2531"/>
      <c r="AG43" s="2532"/>
      <c r="AH43" s="2530"/>
      <c r="AI43" s="2531"/>
      <c r="AJ43" s="2531"/>
      <c r="AK43" s="2532"/>
      <c r="AL43" s="2530"/>
      <c r="AM43" s="2531"/>
      <c r="AN43" s="2531"/>
      <c r="AO43" s="2532"/>
      <c r="AP43" s="2530"/>
      <c r="AQ43" s="2531"/>
      <c r="AR43" s="2531"/>
      <c r="AS43" s="2532"/>
      <c r="AT43" s="2433"/>
      <c r="AU43" s="2434"/>
      <c r="AV43" s="2433"/>
      <c r="AW43" s="2434"/>
      <c r="AX43" s="2433"/>
      <c r="AY43" s="2524"/>
      <c r="AZ43" s="2434"/>
      <c r="BA43" s="2496"/>
      <c r="BB43" s="2499"/>
      <c r="BC43" s="2363"/>
      <c r="BI43" s="1074">
        <v>14</v>
      </c>
    </row>
    <row r="44" spans="1:61" ht="14.65" customHeight="1">
      <c r="A44" s="1289"/>
      <c r="B44" s="1289" t="s">
        <v>135</v>
      </c>
      <c r="C44" s="1289" t="s">
        <v>136</v>
      </c>
      <c r="D44" s="1289" t="s">
        <v>137</v>
      </c>
      <c r="E44" s="1283" t="s">
        <v>435</v>
      </c>
      <c r="F44" s="1283" t="s">
        <v>436</v>
      </c>
      <c r="G44" s="1283" t="s">
        <v>437</v>
      </c>
      <c r="H44" s="1283" t="s">
        <v>438</v>
      </c>
      <c r="I44" s="1283" t="s">
        <v>439</v>
      </c>
      <c r="J44" s="1283" t="s">
        <v>440</v>
      </c>
      <c r="K44" s="1283" t="s">
        <v>441</v>
      </c>
      <c r="L44" s="1283" t="s">
        <v>416</v>
      </c>
      <c r="Q44" s="228"/>
      <c r="R44" s="313"/>
      <c r="S44" s="2491"/>
      <c r="T44" s="2442"/>
      <c r="U44" s="239"/>
      <c r="V44" s="1398" t="s">
        <v>476</v>
      </c>
      <c r="W44" s="1398" t="s">
        <v>477</v>
      </c>
      <c r="X44" s="1398" t="s">
        <v>476</v>
      </c>
      <c r="Y44" s="1398" t="s">
        <v>477</v>
      </c>
      <c r="Z44" s="1408" t="s">
        <v>444</v>
      </c>
      <c r="AA44" s="2451" t="s">
        <v>445</v>
      </c>
      <c r="AB44" s="2453"/>
      <c r="AC44" s="2497"/>
      <c r="AD44" s="2533"/>
      <c r="AE44" s="2534"/>
      <c r="AF44" s="2534"/>
      <c r="AG44" s="2535"/>
      <c r="AH44" s="2533"/>
      <c r="AI44" s="2534"/>
      <c r="AJ44" s="2534"/>
      <c r="AK44" s="2535"/>
      <c r="AL44" s="2533"/>
      <c r="AM44" s="2534"/>
      <c r="AN44" s="2534"/>
      <c r="AO44" s="2535"/>
      <c r="AP44" s="2533"/>
      <c r="AQ44" s="2534"/>
      <c r="AR44" s="2534"/>
      <c r="AS44" s="2535"/>
      <c r="AT44" s="1398" t="s">
        <v>476</v>
      </c>
      <c r="AU44" s="1398" t="s">
        <v>477</v>
      </c>
      <c r="AV44" s="1398" t="s">
        <v>476</v>
      </c>
      <c r="AW44" s="1398" t="s">
        <v>477</v>
      </c>
      <c r="AX44" s="1408" t="s">
        <v>444</v>
      </c>
      <c r="AY44" s="2451" t="s">
        <v>445</v>
      </c>
      <c r="AZ44" s="2453"/>
      <c r="BA44" s="2497"/>
      <c r="BB44" s="2500"/>
      <c r="BC44" s="2363"/>
      <c r="BI44" s="1074">
        <v>14</v>
      </c>
    </row>
    <row r="45" spans="1:61" s="2269" customFormat="1" ht="11.25" hidden="1" customHeight="1">
      <c r="A45" s="1289"/>
      <c r="B45" s="1289"/>
      <c r="C45" s="1289"/>
      <c r="D45" s="1289"/>
      <c r="E45" s="1289"/>
      <c r="F45" s="1289"/>
      <c r="G45" s="1289"/>
      <c r="H45" s="1289"/>
      <c r="I45" s="1289"/>
      <c r="J45" s="1289"/>
      <c r="K45" s="1289"/>
      <c r="L45" s="1283"/>
      <c r="M45" s="1281"/>
      <c r="N45" s="1281"/>
      <c r="O45" s="1281"/>
      <c r="P45" s="447"/>
      <c r="Q45" s="1173"/>
      <c r="R45" s="1173">
        <v>1</v>
      </c>
      <c r="S45" s="1196" t="s">
        <v>108</v>
      </c>
      <c r="T45" s="1174" t="s">
        <v>109</v>
      </c>
      <c r="U45" s="1164" t="str">
        <f ca="1">OFFSET(U45,0,-1)</f>
        <v>2</v>
      </c>
      <c r="V45" s="1401">
        <f t="shared" ref="V45:AA45" ca="1" si="2">OFFSET(V45,0,-1)+1</f>
        <v>3</v>
      </c>
      <c r="W45" s="1401">
        <f t="shared" ca="1" si="2"/>
        <v>4</v>
      </c>
      <c r="X45" s="1401">
        <f t="shared" ca="1" si="2"/>
        <v>5</v>
      </c>
      <c r="Y45" s="1401">
        <f t="shared" ca="1" si="2"/>
        <v>6</v>
      </c>
      <c r="Z45" s="1401">
        <f t="shared" ca="1" si="2"/>
        <v>7</v>
      </c>
      <c r="AA45" s="2490">
        <f t="shared" ca="1" si="2"/>
        <v>8</v>
      </c>
      <c r="AB45" s="2490"/>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490">
        <f ca="1">OFFSET(AY45,0,-1)+1</f>
        <v>3</v>
      </c>
      <c r="AZ45" s="2490"/>
      <c r="BA45" s="1401">
        <f ca="1">OFFSET(BA45,0,-2)+1</f>
        <v>4</v>
      </c>
      <c r="BB45" s="1164">
        <f ca="1">OFFSET(BB45,0,-1)</f>
        <v>4</v>
      </c>
      <c r="BC45" s="1401">
        <f ca="1">OFFSET(BC45,0,-1)+1</f>
        <v>5</v>
      </c>
      <c r="BD45" s="448"/>
      <c r="BE45" s="448"/>
      <c r="BF45" s="448"/>
      <c r="BG45" s="448"/>
      <c r="BH45" s="448"/>
      <c r="BI45" s="433">
        <v>0</v>
      </c>
    </row>
    <row r="46" spans="1:61" ht="21.95" customHeight="1">
      <c r="A46" s="1282" t="s">
        <v>274</v>
      </c>
      <c r="B46" s="1282"/>
      <c r="C46" s="1282"/>
      <c r="D46" s="1282"/>
      <c r="E46" s="2483">
        <v>1</v>
      </c>
      <c r="F46" s="1282"/>
      <c r="G46" s="1282"/>
      <c r="H46" s="1282"/>
      <c r="I46" s="1282"/>
      <c r="J46" s="1282"/>
      <c r="K46" s="1282"/>
      <c r="L46" s="1283"/>
      <c r="M46" s="1284"/>
      <c r="N46" s="1284"/>
      <c r="O46" s="1284"/>
      <c r="P46" s="1328"/>
      <c r="Q46" s="800"/>
      <c r="R46" s="292"/>
      <c r="S46" s="1412">
        <f>INDEX(PT_DIFFERENTIATION_NUM_NTAR,MATCH(A46,PT_DIFFERENTIATION_NTAR_ID,0))</f>
        <v>0</v>
      </c>
      <c r="T46" s="235" t="s">
        <v>123</v>
      </c>
      <c r="U46" s="237"/>
      <c r="V46" s="2470"/>
      <c r="W46" s="2470"/>
      <c r="X46" s="2470"/>
      <c r="Y46" s="2470"/>
      <c r="Z46" s="2470"/>
      <c r="AA46" s="2470"/>
      <c r="AB46" s="2470"/>
      <c r="AC46" s="2471"/>
      <c r="AD46" s="2469" t="str">
        <f>INDEX(PT_DIFFERENTIATION_NTAR,MATCH(A46,PT_DIFFERENTIATION_NTAR_ID,0))</f>
        <v/>
      </c>
      <c r="AE46" s="2470"/>
      <c r="AF46" s="2470"/>
      <c r="AG46" s="2470"/>
      <c r="AH46" s="2470"/>
      <c r="AI46" s="2470"/>
      <c r="AJ46" s="2470"/>
      <c r="AK46" s="2470"/>
      <c r="AL46" s="2470"/>
      <c r="AM46" s="2470"/>
      <c r="AN46" s="2470"/>
      <c r="AO46" s="2470"/>
      <c r="AP46" s="2470"/>
      <c r="AQ46" s="2470"/>
      <c r="AR46" s="2470"/>
      <c r="AS46" s="2470"/>
      <c r="AT46" s="2470"/>
      <c r="AU46" s="2470"/>
      <c r="AV46" s="2470"/>
      <c r="AW46" s="2470"/>
      <c r="AX46" s="2470"/>
      <c r="AY46" s="2470"/>
      <c r="AZ46" s="2470"/>
      <c r="BA46" s="2470"/>
      <c r="BB46" s="2471"/>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74">
        <v>21</v>
      </c>
    </row>
    <row r="47" spans="1:61" ht="21.95" customHeight="1">
      <c r="A47" s="1282" t="s">
        <v>274</v>
      </c>
      <c r="B47" s="1282" t="s">
        <v>275</v>
      </c>
      <c r="C47" s="1282"/>
      <c r="D47" s="1282"/>
      <c r="E47" s="2484"/>
      <c r="F47" s="2483">
        <v>1</v>
      </c>
      <c r="G47" s="1282"/>
      <c r="H47" s="1282"/>
      <c r="I47" s="1282"/>
      <c r="J47" s="1282"/>
      <c r="K47" s="1282"/>
      <c r="L47" s="1283"/>
      <c r="M47" s="1284"/>
      <c r="N47" s="1284"/>
      <c r="O47" s="1284"/>
      <c r="P47" s="1329"/>
      <c r="Q47" s="1330"/>
      <c r="R47" s="290"/>
      <c r="S47" s="1412" t="str">
        <f>INDEX(PT_DIFFERENTIATION_NUM_TER,MATCH(B47,PT_DIFFERENTIATION_TER_ID,0))</f>
        <v>.</v>
      </c>
      <c r="T47" s="245" t="s">
        <v>395</v>
      </c>
      <c r="U47" s="237"/>
      <c r="V47" s="2470"/>
      <c r="W47" s="2470"/>
      <c r="X47" s="2470"/>
      <c r="Y47" s="2470"/>
      <c r="Z47" s="2470"/>
      <c r="AA47" s="2470"/>
      <c r="AB47" s="2470"/>
      <c r="AC47" s="2471"/>
      <c r="AD47" s="2469" t="str">
        <f>INDEX(PT_DIFFERENTIATION_TER,MATCH(B47,PT_DIFFERENTIATION_TER_ID,0))</f>
        <v/>
      </c>
      <c r="AE47" s="2470"/>
      <c r="AF47" s="2470"/>
      <c r="AG47" s="2470"/>
      <c r="AH47" s="2470"/>
      <c r="AI47" s="2470"/>
      <c r="AJ47" s="2470"/>
      <c r="AK47" s="2470"/>
      <c r="AL47" s="2470"/>
      <c r="AM47" s="2470"/>
      <c r="AN47" s="2470"/>
      <c r="AO47" s="2470"/>
      <c r="AP47" s="2470"/>
      <c r="AQ47" s="2470"/>
      <c r="AR47" s="2470"/>
      <c r="AS47" s="2470"/>
      <c r="AT47" s="2470"/>
      <c r="AU47" s="2470"/>
      <c r="AV47" s="2470"/>
      <c r="AW47" s="2470"/>
      <c r="AX47" s="2470"/>
      <c r="AY47" s="2470"/>
      <c r="AZ47" s="2470"/>
      <c r="BA47" s="2470"/>
      <c r="BB47" s="2471"/>
      <c r="BC47" s="1177" t="s">
        <v>396</v>
      </c>
      <c r="BE47" s="437"/>
      <c r="BF47" s="437" t="str">
        <f t="shared" si="3"/>
        <v>Территория действия тарифа</v>
      </c>
      <c r="BG47" s="437"/>
      <c r="BH47" s="437"/>
      <c r="BI47" s="1074">
        <v>21</v>
      </c>
    </row>
    <row r="48" spans="1:61" ht="35.65" customHeight="1">
      <c r="A48" s="1282" t="s">
        <v>274</v>
      </c>
      <c r="B48" s="1282" t="s">
        <v>275</v>
      </c>
      <c r="C48" s="1282" t="s">
        <v>276</v>
      </c>
      <c r="D48" s="1282"/>
      <c r="E48" s="2484"/>
      <c r="F48" s="2484"/>
      <c r="G48" s="2483">
        <v>1</v>
      </c>
      <c r="H48" s="1282"/>
      <c r="I48" s="1282"/>
      <c r="J48" s="1282"/>
      <c r="K48" s="1282"/>
      <c r="L48" s="1283"/>
      <c r="M48" s="1284"/>
      <c r="N48" s="1284"/>
      <c r="O48" s="1284"/>
      <c r="P48" s="1331"/>
      <c r="Q48" s="1330"/>
      <c r="R48" s="290"/>
      <c r="S48" s="1412" t="str">
        <f>INDEX(PT_DIFFERENTIATION_NUM_CS,MATCH(C48,PT_DIFFERENTIATION_CS_ID,0))</f>
        <v>..</v>
      </c>
      <c r="T48" s="246" t="s">
        <v>514</v>
      </c>
      <c r="U48" s="237"/>
      <c r="V48" s="2470"/>
      <c r="W48" s="2470"/>
      <c r="X48" s="2470"/>
      <c r="Y48" s="2470"/>
      <c r="Z48" s="2470"/>
      <c r="AA48" s="2470"/>
      <c r="AB48" s="2470"/>
      <c r="AC48" s="2471"/>
      <c r="AD48" s="2469" t="str">
        <f>INDEX(PT_DIFFERENTIATION_CS,MATCH(C48,PT_DIFFERENTIATION_CS_ID,0))</f>
        <v/>
      </c>
      <c r="AE48" s="2470"/>
      <c r="AF48" s="2470"/>
      <c r="AG48" s="2470"/>
      <c r="AH48" s="2470"/>
      <c r="AI48" s="2470"/>
      <c r="AJ48" s="2470"/>
      <c r="AK48" s="2470"/>
      <c r="AL48" s="2470"/>
      <c r="AM48" s="2470"/>
      <c r="AN48" s="2470"/>
      <c r="AO48" s="2470"/>
      <c r="AP48" s="2470"/>
      <c r="AQ48" s="2470"/>
      <c r="AR48" s="2470"/>
      <c r="AS48" s="2470"/>
      <c r="AT48" s="2470"/>
      <c r="AU48" s="2470"/>
      <c r="AV48" s="2470"/>
      <c r="AW48" s="2470"/>
      <c r="AX48" s="2470"/>
      <c r="AY48" s="2470"/>
      <c r="AZ48" s="2470"/>
      <c r="BA48" s="2470"/>
      <c r="BB48" s="2471"/>
      <c r="BC48" s="1177" t="s">
        <v>515</v>
      </c>
      <c r="BE48" s="437"/>
      <c r="BF48" s="437" t="str">
        <f t="shared" si="3"/>
        <v>Наименование централизованной системы водоотведения</v>
      </c>
      <c r="BG48" s="437"/>
      <c r="BH48" s="437"/>
      <c r="BI48" s="1074">
        <v>34</v>
      </c>
    </row>
    <row r="49" spans="1:61" s="2245" customFormat="1" ht="0" hidden="1" customHeight="1">
      <c r="A49" s="1262" t="s">
        <v>274</v>
      </c>
      <c r="B49" s="1262" t="s">
        <v>275</v>
      </c>
      <c r="C49" s="1262" t="s">
        <v>276</v>
      </c>
      <c r="D49" s="1262" t="s">
        <v>527</v>
      </c>
      <c r="E49" s="2484"/>
      <c r="F49" s="2484"/>
      <c r="G49" s="2484"/>
      <c r="H49" s="2483">
        <v>1</v>
      </c>
      <c r="I49" s="1262"/>
      <c r="J49" s="1262"/>
      <c r="K49" s="1262"/>
      <c r="L49" s="1265"/>
      <c r="M49" s="1234"/>
      <c r="N49" s="1234"/>
      <c r="O49" s="1234"/>
      <c r="P49" s="1416"/>
      <c r="Q49" s="1417"/>
      <c r="R49" s="294"/>
      <c r="S49" s="966"/>
      <c r="T49" s="1418"/>
      <c r="U49" s="1303"/>
      <c r="V49" s="2513"/>
      <c r="W49" s="2513"/>
      <c r="X49" s="2513"/>
      <c r="Y49" s="2513"/>
      <c r="Z49" s="2513"/>
      <c r="AA49" s="2513"/>
      <c r="AB49" s="2513"/>
      <c r="AC49" s="2514"/>
      <c r="AD49" s="2512"/>
      <c r="AE49" s="2513"/>
      <c r="AF49" s="2513"/>
      <c r="AG49" s="2513"/>
      <c r="AH49" s="2513"/>
      <c r="AI49" s="2513"/>
      <c r="AJ49" s="2513"/>
      <c r="AK49" s="2513"/>
      <c r="AL49" s="2513"/>
      <c r="AM49" s="2513"/>
      <c r="AN49" s="2513"/>
      <c r="AO49" s="2513"/>
      <c r="AP49" s="2513"/>
      <c r="AQ49" s="2513"/>
      <c r="AR49" s="2513"/>
      <c r="AS49" s="2513"/>
      <c r="AT49" s="2513"/>
      <c r="AU49" s="2513"/>
      <c r="AV49" s="2513"/>
      <c r="AW49" s="2513"/>
      <c r="AX49" s="2513"/>
      <c r="AY49" s="2513"/>
      <c r="AZ49" s="2513"/>
      <c r="BA49" s="2513"/>
      <c r="BB49" s="2514"/>
      <c r="BC49" s="1304" t="s">
        <v>400</v>
      </c>
      <c r="BE49" s="437"/>
      <c r="BF49" s="437" t="str">
        <f t="shared" si="3"/>
        <v/>
      </c>
      <c r="BG49" s="437"/>
      <c r="BH49" s="437"/>
      <c r="BI49" s="448">
        <v>0</v>
      </c>
    </row>
    <row r="50" spans="1:61" s="2245" customFormat="1" ht="0" hidden="1" customHeight="1">
      <c r="A50" s="1262" t="s">
        <v>274</v>
      </c>
      <c r="B50" s="1262" t="s">
        <v>275</v>
      </c>
      <c r="C50" s="1262" t="s">
        <v>276</v>
      </c>
      <c r="D50" s="1262" t="s">
        <v>527</v>
      </c>
      <c r="E50" s="2484"/>
      <c r="F50" s="2484"/>
      <c r="G50" s="2484"/>
      <c r="H50" s="2484"/>
      <c r="I50" s="2481" t="str">
        <f>S49&amp;".1"</f>
        <v>.1</v>
      </c>
      <c r="J50" s="1262"/>
      <c r="K50" s="1262"/>
      <c r="L50" s="1265" t="s">
        <v>401</v>
      </c>
      <c r="M50" s="447"/>
      <c r="N50" s="447"/>
      <c r="O50" s="447"/>
      <c r="P50" s="2482">
        <v>1</v>
      </c>
      <c r="Q50" s="1400"/>
      <c r="R50" s="293"/>
      <c r="S50" s="966"/>
      <c r="T50" s="1302"/>
      <c r="U50" s="1303"/>
      <c r="V50" s="2513"/>
      <c r="W50" s="2513"/>
      <c r="X50" s="2513"/>
      <c r="Y50" s="2513"/>
      <c r="Z50" s="2513"/>
      <c r="AA50" s="2513"/>
      <c r="AB50" s="2513"/>
      <c r="AC50" s="2514"/>
      <c r="AD50" s="2512"/>
      <c r="AE50" s="2513"/>
      <c r="AF50" s="2513"/>
      <c r="AG50" s="2513"/>
      <c r="AH50" s="2513"/>
      <c r="AI50" s="2513"/>
      <c r="AJ50" s="2513"/>
      <c r="AK50" s="2513"/>
      <c r="AL50" s="2513"/>
      <c r="AM50" s="2513"/>
      <c r="AN50" s="2513"/>
      <c r="AO50" s="2513"/>
      <c r="AP50" s="2513"/>
      <c r="AQ50" s="2513"/>
      <c r="AR50" s="2513"/>
      <c r="AS50" s="2513"/>
      <c r="AT50" s="2513"/>
      <c r="AU50" s="2513"/>
      <c r="AV50" s="2513"/>
      <c r="AW50" s="2513"/>
      <c r="AX50" s="2513"/>
      <c r="AY50" s="2513"/>
      <c r="AZ50" s="2513"/>
      <c r="BA50" s="2513"/>
      <c r="BB50" s="2514"/>
      <c r="BC50" s="1304"/>
      <c r="BE50" s="437"/>
      <c r="BF50" s="437" t="str">
        <f t="shared" si="3"/>
        <v/>
      </c>
      <c r="BG50" s="437"/>
      <c r="BH50" s="437"/>
      <c r="BI50" s="448">
        <v>0</v>
      </c>
    </row>
    <row r="51" spans="1:61" s="2245" customFormat="1" ht="0" hidden="1" customHeight="1">
      <c r="A51" s="1262" t="s">
        <v>274</v>
      </c>
      <c r="B51" s="1262" t="s">
        <v>275</v>
      </c>
      <c r="C51" s="1262" t="s">
        <v>276</v>
      </c>
      <c r="D51" s="1262" t="s">
        <v>527</v>
      </c>
      <c r="E51" s="2484"/>
      <c r="F51" s="2484"/>
      <c r="G51" s="2484"/>
      <c r="H51" s="2484"/>
      <c r="I51" s="2504"/>
      <c r="J51" s="2481" t="str">
        <f>S49&amp;".1"</f>
        <v>.1</v>
      </c>
      <c r="K51" s="1262"/>
      <c r="L51" s="1265"/>
      <c r="M51" s="447"/>
      <c r="N51" s="447"/>
      <c r="O51" s="447"/>
      <c r="P51" s="2482"/>
      <c r="Q51" s="2482">
        <v>1</v>
      </c>
      <c r="R51" s="294"/>
      <c r="S51" s="966"/>
      <c r="T51" s="1318"/>
      <c r="U51" s="1303"/>
      <c r="V51" s="2513"/>
      <c r="W51" s="2513"/>
      <c r="X51" s="2513"/>
      <c r="Y51" s="2513"/>
      <c r="Z51" s="2513"/>
      <c r="AA51" s="2513"/>
      <c r="AB51" s="2513"/>
      <c r="AC51" s="2514"/>
      <c r="AD51" s="2512"/>
      <c r="AE51" s="2513"/>
      <c r="AF51" s="2513"/>
      <c r="AG51" s="2513"/>
      <c r="AH51" s="2513"/>
      <c r="AI51" s="2513"/>
      <c r="AJ51" s="2513"/>
      <c r="AK51" s="2513"/>
      <c r="AL51" s="2513"/>
      <c r="AM51" s="2513"/>
      <c r="AN51" s="2564"/>
      <c r="AO51" s="2564"/>
      <c r="AP51" s="2513"/>
      <c r="AQ51" s="2513"/>
      <c r="AR51" s="2513"/>
      <c r="AS51" s="2513"/>
      <c r="AT51" s="2513"/>
      <c r="AU51" s="2513"/>
      <c r="AV51" s="2513"/>
      <c r="AW51" s="2513"/>
      <c r="AX51" s="2513"/>
      <c r="AY51" s="2513"/>
      <c r="AZ51" s="2513"/>
      <c r="BA51" s="2513"/>
      <c r="BB51" s="2514"/>
      <c r="BC51" s="1304"/>
      <c r="BE51" s="437"/>
      <c r="BF51" s="437" t="str">
        <f t="shared" si="3"/>
        <v/>
      </c>
      <c r="BG51" s="437"/>
      <c r="BH51" s="437"/>
      <c r="BI51" s="448">
        <v>0</v>
      </c>
    </row>
    <row r="52" spans="1:61" ht="11.45" customHeight="1">
      <c r="A52" s="1282" t="s">
        <v>274</v>
      </c>
      <c r="B52" s="1282" t="s">
        <v>275</v>
      </c>
      <c r="C52" s="1282" t="s">
        <v>276</v>
      </c>
      <c r="D52" s="1282" t="s">
        <v>527</v>
      </c>
      <c r="E52" s="2484"/>
      <c r="F52" s="2484"/>
      <c r="G52" s="2484"/>
      <c r="H52" s="2484"/>
      <c r="I52" s="2504"/>
      <c r="J52" s="2504"/>
      <c r="K52" s="2481" t="str">
        <f>S48&amp;".1"</f>
        <v>...1</v>
      </c>
      <c r="L52" s="1283"/>
      <c r="P52" s="2482"/>
      <c r="Q52" s="2482"/>
      <c r="R52" s="294">
        <v>1</v>
      </c>
      <c r="S52" s="2541" t="str">
        <f>$K52</f>
        <v>...1</v>
      </c>
      <c r="T52" s="2560"/>
      <c r="U52" s="237"/>
      <c r="V52" s="688"/>
      <c r="W52" s="1176"/>
      <c r="X52" s="688"/>
      <c r="Y52" s="1176"/>
      <c r="Z52" s="1652"/>
      <c r="AA52" s="1388" t="s">
        <v>64</v>
      </c>
      <c r="AB52" s="1652"/>
      <c r="AC52" s="1388" t="s">
        <v>64</v>
      </c>
      <c r="AD52" s="2421" t="s">
        <v>64</v>
      </c>
      <c r="AE52" s="2526"/>
      <c r="AF52" s="2438">
        <v>1</v>
      </c>
      <c r="AG52" s="2563"/>
      <c r="AH52" s="2344" t="s">
        <v>64</v>
      </c>
      <c r="AI52" s="2526"/>
      <c r="AJ52" s="2438">
        <v>1</v>
      </c>
      <c r="AK52" s="2527" t="s">
        <v>22</v>
      </c>
      <c r="AL52" s="2344" t="s">
        <v>64</v>
      </c>
      <c r="AM52" s="2428"/>
      <c r="AN52" s="2438">
        <v>1</v>
      </c>
      <c r="AO52" s="2557"/>
      <c r="AP52" s="2558" t="s">
        <v>64</v>
      </c>
      <c r="AQ52" s="248"/>
      <c r="AR52" s="1405">
        <v>1</v>
      </c>
      <c r="AS52" s="1411" t="s">
        <v>22</v>
      </c>
      <c r="AT52" s="688"/>
      <c r="AU52" s="1176"/>
      <c r="AV52" s="688"/>
      <c r="AW52" s="1176"/>
      <c r="AX52" s="1652"/>
      <c r="AY52" s="1388" t="s">
        <v>64</v>
      </c>
      <c r="AZ52" s="1652"/>
      <c r="BA52" s="1388" t="s">
        <v>64</v>
      </c>
      <c r="BB52" s="1267"/>
      <c r="BC52" s="2478" t="s">
        <v>499</v>
      </c>
      <c r="BE52" s="437"/>
      <c r="BF52" s="437" t="str">
        <f t="shared" si="3"/>
        <v/>
      </c>
      <c r="BG52" s="437"/>
      <c r="BH52" s="437"/>
      <c r="BI52" s="1074">
        <v>11</v>
      </c>
    </row>
    <row r="53" spans="1:61" ht="11.45" customHeight="1">
      <c r="A53" s="1282"/>
      <c r="B53" s="1282"/>
      <c r="C53" s="1282"/>
      <c r="D53" s="1282"/>
      <c r="E53" s="2484"/>
      <c r="F53" s="2484"/>
      <c r="G53" s="2484"/>
      <c r="H53" s="2484"/>
      <c r="I53" s="2504"/>
      <c r="J53" s="2504"/>
      <c r="K53" s="2481"/>
      <c r="L53" s="1283"/>
      <c r="P53" s="2482"/>
      <c r="Q53" s="2482"/>
      <c r="R53" s="294"/>
      <c r="S53" s="2542"/>
      <c r="T53" s="2561"/>
      <c r="U53" s="237"/>
      <c r="V53" s="1312"/>
      <c r="W53" s="1415"/>
      <c r="X53" s="1312"/>
      <c r="Y53" s="1415"/>
      <c r="Z53" s="1312"/>
      <c r="AA53" s="1312"/>
      <c r="AB53" s="1312"/>
      <c r="AC53" s="1312"/>
      <c r="AD53" s="2422"/>
      <c r="AE53" s="2526"/>
      <c r="AF53" s="2438"/>
      <c r="AG53" s="2563"/>
      <c r="AH53" s="2344"/>
      <c r="AI53" s="2526"/>
      <c r="AJ53" s="2438"/>
      <c r="AK53" s="2527"/>
      <c r="AL53" s="2344"/>
      <c r="AM53" s="2433"/>
      <c r="AN53" s="2438"/>
      <c r="AO53" s="2557"/>
      <c r="AP53" s="2559"/>
      <c r="AQ53" s="253"/>
      <c r="AR53" s="353"/>
      <c r="AS53" s="353" t="s">
        <v>500</v>
      </c>
      <c r="AT53" s="1312"/>
      <c r="AU53" s="1415"/>
      <c r="AV53" s="1312"/>
      <c r="AW53" s="1415"/>
      <c r="AX53" s="1312"/>
      <c r="AY53" s="1312"/>
      <c r="AZ53" s="1312"/>
      <c r="BA53" s="1312"/>
      <c r="BB53" s="1316"/>
      <c r="BC53" s="2479"/>
      <c r="BE53" s="437"/>
      <c r="BF53" s="437"/>
      <c r="BG53" s="437"/>
      <c r="BH53" s="437"/>
      <c r="BI53" s="1074">
        <v>11</v>
      </c>
    </row>
    <row r="54" spans="1:61" ht="11.45" customHeight="1">
      <c r="A54" s="1282" t="s">
        <v>274</v>
      </c>
      <c r="B54" s="1282"/>
      <c r="C54" s="1282"/>
      <c r="D54" s="1282"/>
      <c r="E54" s="2484"/>
      <c r="F54" s="2484"/>
      <c r="G54" s="2484"/>
      <c r="H54" s="2484"/>
      <c r="I54" s="2504"/>
      <c r="J54" s="2504"/>
      <c r="K54" s="2481"/>
      <c r="L54" s="1283"/>
      <c r="P54" s="2482"/>
      <c r="Q54" s="2482"/>
      <c r="R54" s="294"/>
      <c r="S54" s="2542"/>
      <c r="T54" s="2561"/>
      <c r="U54" s="237"/>
      <c r="V54" s="1312"/>
      <c r="W54" s="1415"/>
      <c r="X54" s="1312"/>
      <c r="Y54" s="1415"/>
      <c r="Z54" s="1312"/>
      <c r="AA54" s="1312"/>
      <c r="AB54" s="1312"/>
      <c r="AC54" s="1312"/>
      <c r="AD54" s="2422"/>
      <c r="AE54" s="2526"/>
      <c r="AF54" s="2438"/>
      <c r="AG54" s="2563"/>
      <c r="AH54" s="2344"/>
      <c r="AI54" s="2526"/>
      <c r="AJ54" s="2438"/>
      <c r="AK54" s="2527"/>
      <c r="AL54" s="2344"/>
      <c r="AM54" s="253"/>
      <c r="AN54" s="1419"/>
      <c r="AO54" s="1419" t="s">
        <v>520</v>
      </c>
      <c r="AP54" s="353"/>
      <c r="AQ54" s="353"/>
      <c r="AR54" s="353"/>
      <c r="AS54" s="1312"/>
      <c r="AT54" s="1312"/>
      <c r="AU54" s="1415"/>
      <c r="AV54" s="1312"/>
      <c r="AW54" s="1415"/>
      <c r="AX54" s="1312"/>
      <c r="AY54" s="1312"/>
      <c r="AZ54" s="1312"/>
      <c r="BA54" s="1312"/>
      <c r="BB54" s="1316"/>
      <c r="BC54" s="2479"/>
      <c r="BE54" s="437"/>
      <c r="BF54" s="437"/>
      <c r="BG54" s="437"/>
      <c r="BH54" s="437"/>
      <c r="BI54" s="1074">
        <v>11</v>
      </c>
    </row>
    <row r="55" spans="1:61" ht="11.45" customHeight="1">
      <c r="A55" s="1282" t="s">
        <v>274</v>
      </c>
      <c r="B55" s="1282"/>
      <c r="C55" s="1282"/>
      <c r="D55" s="1282"/>
      <c r="E55" s="2484"/>
      <c r="F55" s="2484"/>
      <c r="G55" s="2484"/>
      <c r="H55" s="2484"/>
      <c r="I55" s="2504"/>
      <c r="J55" s="2504"/>
      <c r="K55" s="2481"/>
      <c r="L55" s="1283"/>
      <c r="P55" s="2482"/>
      <c r="Q55" s="2482"/>
      <c r="R55" s="294"/>
      <c r="S55" s="2542"/>
      <c r="T55" s="2561"/>
      <c r="U55" s="237"/>
      <c r="V55" s="1312"/>
      <c r="W55" s="1415"/>
      <c r="X55" s="1312"/>
      <c r="Y55" s="1415"/>
      <c r="Z55" s="1312"/>
      <c r="AA55" s="1312"/>
      <c r="AB55" s="1312"/>
      <c r="AC55" s="1312"/>
      <c r="AD55" s="2422"/>
      <c r="AE55" s="2526"/>
      <c r="AF55" s="2438"/>
      <c r="AG55" s="2563"/>
      <c r="AH55" s="2344"/>
      <c r="AI55" s="231"/>
      <c r="AJ55" s="352"/>
      <c r="AK55" s="250" t="s">
        <v>521</v>
      </c>
      <c r="AL55" s="1312"/>
      <c r="AM55" s="1312"/>
      <c r="AN55" s="1312"/>
      <c r="AO55" s="1312"/>
      <c r="AP55" s="1312"/>
      <c r="AQ55" s="1312"/>
      <c r="AR55" s="1312"/>
      <c r="AS55" s="1312"/>
      <c r="AT55" s="1312"/>
      <c r="AU55" s="1415"/>
      <c r="AV55" s="1312"/>
      <c r="AW55" s="1415"/>
      <c r="AX55" s="1312"/>
      <c r="AY55" s="1312"/>
      <c r="AZ55" s="1312"/>
      <c r="BA55" s="1312"/>
      <c r="BB55" s="1316"/>
      <c r="BC55" s="2479"/>
      <c r="BE55" s="437"/>
      <c r="BF55" s="437"/>
      <c r="BG55" s="437"/>
      <c r="BH55" s="437"/>
      <c r="BI55" s="1074">
        <v>11</v>
      </c>
    </row>
    <row r="56" spans="1:61" ht="11.45" customHeight="1">
      <c r="A56" s="1282" t="s">
        <v>274</v>
      </c>
      <c r="B56" s="1282" t="s">
        <v>275</v>
      </c>
      <c r="C56" s="1282" t="s">
        <v>276</v>
      </c>
      <c r="D56" s="1282" t="s">
        <v>527</v>
      </c>
      <c r="E56" s="2484"/>
      <c r="F56" s="2484"/>
      <c r="G56" s="2484"/>
      <c r="H56" s="2484"/>
      <c r="I56" s="2504"/>
      <c r="J56" s="2504"/>
      <c r="K56" s="2481"/>
      <c r="L56" s="1283"/>
      <c r="P56" s="2482"/>
      <c r="Q56" s="2482"/>
      <c r="R56" s="294"/>
      <c r="S56" s="2543"/>
      <c r="T56" s="2562"/>
      <c r="U56" s="237"/>
      <c r="V56" s="1312"/>
      <c r="W56" s="1313" t="str">
        <f>Z52&amp;"-"&amp;AB52</f>
        <v>-</v>
      </c>
      <c r="X56" s="1312"/>
      <c r="Y56" s="1313" t="str">
        <f>AB52&amp;"-"&amp;AD52</f>
        <v>-да</v>
      </c>
      <c r="Z56" s="1312"/>
      <c r="AA56" s="1312"/>
      <c r="AB56" s="1312"/>
      <c r="AC56" s="1312"/>
      <c r="AD56" s="2349"/>
      <c r="AE56" s="249"/>
      <c r="AF56" s="251"/>
      <c r="AG56" s="353" t="s">
        <v>503</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479"/>
      <c r="BE56" s="437"/>
      <c r="BF56" s="437" t="str">
        <f t="shared" ref="BF56:BF63" si="4">IF(T56="","",T56)</f>
        <v/>
      </c>
      <c r="BG56" s="437"/>
      <c r="BH56" s="437"/>
      <c r="BI56" s="1074">
        <v>11</v>
      </c>
    </row>
    <row r="57" spans="1:61" ht="11.45" customHeight="1">
      <c r="A57" s="1282" t="s">
        <v>274</v>
      </c>
      <c r="B57" s="1282" t="s">
        <v>275</v>
      </c>
      <c r="C57" s="1282" t="s">
        <v>276</v>
      </c>
      <c r="D57" s="1282" t="s">
        <v>527</v>
      </c>
      <c r="E57" s="2484"/>
      <c r="F57" s="2484"/>
      <c r="G57" s="2484"/>
      <c r="H57" s="2484"/>
      <c r="I57" s="2504"/>
      <c r="J57" s="2481"/>
      <c r="K57" s="1282"/>
      <c r="L57" s="1283"/>
      <c r="P57" s="2482"/>
      <c r="Q57" s="2482"/>
      <c r="R57" s="293"/>
      <c r="S57" s="1197"/>
      <c r="T57" s="224" t="s">
        <v>466</v>
      </c>
      <c r="U57" s="304"/>
      <c r="V57" s="304"/>
      <c r="W57" s="304"/>
      <c r="X57" s="304"/>
      <c r="Y57" s="304"/>
      <c r="Z57" s="304"/>
      <c r="AA57" s="304"/>
      <c r="AB57" s="304"/>
      <c r="AC57" s="261"/>
      <c r="AD57" s="1424"/>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480"/>
      <c r="BE57" s="437"/>
      <c r="BF57" s="437" t="str">
        <f t="shared" si="4"/>
        <v>Добавить строку</v>
      </c>
      <c r="BG57" s="437"/>
      <c r="BH57" s="437"/>
      <c r="BI57" s="1074">
        <v>11</v>
      </c>
    </row>
    <row r="58" spans="1:61" s="2245" customFormat="1" ht="0" hidden="1" customHeight="1">
      <c r="A58" s="1262" t="s">
        <v>274</v>
      </c>
      <c r="B58" s="1262" t="s">
        <v>275</v>
      </c>
      <c r="C58" s="1262" t="s">
        <v>276</v>
      </c>
      <c r="D58" s="1262" t="s">
        <v>527</v>
      </c>
      <c r="E58" s="2484"/>
      <c r="F58" s="2484"/>
      <c r="G58" s="2484"/>
      <c r="H58" s="2484"/>
      <c r="I58" s="2481"/>
      <c r="J58" s="1262"/>
      <c r="K58" s="1262"/>
      <c r="L58" s="1265"/>
      <c r="M58" s="447"/>
      <c r="N58" s="447"/>
      <c r="O58" s="447"/>
      <c r="P58" s="2482"/>
      <c r="Q58" s="1400"/>
      <c r="R58" s="293"/>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7"/>
      <c r="BF58" s="437" t="str">
        <f t="shared" si="4"/>
        <v/>
      </c>
      <c r="BG58" s="437"/>
      <c r="BH58" s="437"/>
      <c r="BI58" s="448">
        <v>0</v>
      </c>
    </row>
    <row r="59" spans="1:61" s="2245" customFormat="1" ht="0" hidden="1" customHeight="1">
      <c r="A59" s="1262" t="s">
        <v>274</v>
      </c>
      <c r="B59" s="1262" t="s">
        <v>275</v>
      </c>
      <c r="C59" s="1262" t="s">
        <v>276</v>
      </c>
      <c r="D59" s="1262" t="s">
        <v>527</v>
      </c>
      <c r="E59" s="2484"/>
      <c r="F59" s="2484"/>
      <c r="G59" s="2484"/>
      <c r="H59" s="2483"/>
      <c r="I59" s="1262"/>
      <c r="J59" s="1262"/>
      <c r="K59" s="1262"/>
      <c r="L59" s="1265"/>
      <c r="M59" s="1234"/>
      <c r="N59" s="1234"/>
      <c r="O59" s="455"/>
      <c r="P59" s="317"/>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7"/>
      <c r="BF59" s="437" t="str">
        <f t="shared" si="4"/>
        <v/>
      </c>
      <c r="BG59" s="437"/>
      <c r="BH59" s="437"/>
      <c r="BI59" s="448">
        <v>0</v>
      </c>
    </row>
    <row r="60" spans="1:61" s="2245" customFormat="1" ht="0" hidden="1" customHeight="1">
      <c r="A60" s="1262" t="s">
        <v>274</v>
      </c>
      <c r="B60" s="1262" t="s">
        <v>275</v>
      </c>
      <c r="C60" s="1262" t="s">
        <v>276</v>
      </c>
      <c r="D60" s="1233"/>
      <c r="E60" s="2484"/>
      <c r="F60" s="2484"/>
      <c r="G60" s="2483"/>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20"/>
      <c r="BF60" s="720" t="str">
        <f t="shared" si="4"/>
        <v/>
      </c>
      <c r="BG60" s="720"/>
      <c r="BH60" s="720"/>
      <c r="BI60" s="455">
        <v>0</v>
      </c>
    </row>
    <row r="61" spans="1:61" s="2245" customFormat="1" ht="0" hidden="1" customHeight="1">
      <c r="A61" s="1262" t="s">
        <v>274</v>
      </c>
      <c r="B61" s="1262" t="s">
        <v>275</v>
      </c>
      <c r="C61" s="1233"/>
      <c r="D61" s="1233"/>
      <c r="E61" s="2484"/>
      <c r="F61" s="2483"/>
      <c r="G61" s="1233"/>
      <c r="H61" s="1233"/>
      <c r="I61" s="1233"/>
      <c r="J61" s="1233"/>
      <c r="K61" s="1233"/>
      <c r="L61" s="1413"/>
      <c r="M61" s="1240"/>
      <c r="N61" s="1240"/>
      <c r="P61" s="1235"/>
      <c r="Q61" s="1236"/>
      <c r="R61" s="1235"/>
      <c r="S61" s="1241"/>
      <c r="T61" s="1244" t="s">
        <v>413</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20"/>
      <c r="BF61" s="720" t="str">
        <f t="shared" si="4"/>
        <v>Добавить централизованную систему для дифференциации</v>
      </c>
      <c r="BG61" s="720"/>
      <c r="BH61" s="720"/>
      <c r="BI61" s="455">
        <v>0</v>
      </c>
    </row>
    <row r="62" spans="1:61" s="2245" customFormat="1" ht="0" hidden="1" customHeight="1">
      <c r="A62" s="1262" t="s">
        <v>274</v>
      </c>
      <c r="B62" s="1262"/>
      <c r="C62" s="1262"/>
      <c r="D62" s="1262"/>
      <c r="E62" s="2483"/>
      <c r="F62" s="1262"/>
      <c r="G62" s="1262"/>
      <c r="H62" s="1262"/>
      <c r="I62" s="1262"/>
      <c r="J62" s="1262"/>
      <c r="K62" s="1262"/>
      <c r="L62" s="1265"/>
      <c r="M62" s="1240"/>
      <c r="N62" s="1240"/>
      <c r="O62" s="455"/>
      <c r="P62" s="317"/>
      <c r="Q62" s="1263"/>
      <c r="R62" s="317"/>
      <c r="S62" s="1241"/>
      <c r="T62" s="1244" t="s">
        <v>414</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7"/>
      <c r="BF62" s="437" t="str">
        <f t="shared" si="4"/>
        <v>Добавить территорию для дифференциации</v>
      </c>
      <c r="BG62" s="437"/>
      <c r="BH62" s="437"/>
      <c r="BI62" s="448">
        <v>0</v>
      </c>
    </row>
    <row r="63" spans="1:61" s="2245"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446</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20"/>
      <c r="BF63" s="720" t="str">
        <f t="shared" si="4"/>
        <v>Добавить наименование тарифа</v>
      </c>
      <c r="BG63" s="720"/>
      <c r="BH63" s="720"/>
      <c r="BI63" s="455">
        <v>0</v>
      </c>
    </row>
    <row r="64" spans="1:61" ht="11.45" customHeight="1">
      <c r="M64" s="1079"/>
      <c r="N64" s="1079"/>
      <c r="O64" s="474"/>
      <c r="P64" s="1079"/>
      <c r="Q64" s="1079"/>
      <c r="R64" s="1074"/>
      <c r="S64" s="1074"/>
      <c r="BD64" s="1074"/>
      <c r="BE64" s="1074"/>
      <c r="BF64" s="1074"/>
      <c r="BG64" s="1074"/>
      <c r="BH64" s="1074"/>
      <c r="BI64" s="1074">
        <v>11</v>
      </c>
    </row>
    <row r="65" spans="1:61" ht="14.65" customHeight="1">
      <c r="O65" s="474"/>
      <c r="S65" s="1172"/>
      <c r="T65" s="2503"/>
      <c r="U65" s="2503"/>
      <c r="V65" s="2503"/>
      <c r="W65" s="2503"/>
      <c r="X65" s="2503"/>
      <c r="Y65" s="2503"/>
      <c r="Z65" s="2503"/>
      <c r="AA65" s="2503"/>
      <c r="AB65" s="2503"/>
      <c r="AC65" s="2503"/>
      <c r="AD65" s="2503"/>
      <c r="AE65" s="2503"/>
      <c r="AF65" s="2503"/>
      <c r="AG65" s="2503"/>
      <c r="AH65" s="2503"/>
      <c r="AI65" s="2503"/>
      <c r="AJ65" s="2503"/>
      <c r="AK65" s="2503"/>
      <c r="AL65" s="2503"/>
      <c r="AM65" s="2503"/>
      <c r="AN65" s="2503"/>
      <c r="AO65" s="2503"/>
      <c r="AP65" s="2503"/>
      <c r="AQ65" s="2503"/>
      <c r="AR65" s="2503"/>
      <c r="AS65" s="2503"/>
      <c r="AT65" s="2503"/>
      <c r="AU65" s="2503"/>
      <c r="AV65" s="2503"/>
      <c r="AW65" s="2503"/>
      <c r="AX65" s="2503"/>
      <c r="AY65" s="2503"/>
      <c r="AZ65" s="2503"/>
      <c r="BA65" s="2503"/>
      <c r="BB65" s="2503"/>
      <c r="BC65" s="2503"/>
      <c r="BI65" s="1074">
        <v>14</v>
      </c>
    </row>
    <row r="66" spans="1:61" ht="14.65" customHeight="1">
      <c r="O66" s="474"/>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4.65" customHeight="1">
      <c r="O67" s="474"/>
      <c r="S67" s="1172"/>
      <c r="T67" s="2503"/>
      <c r="U67" s="2503"/>
      <c r="V67" s="2503"/>
      <c r="W67" s="2503"/>
      <c r="X67" s="2503"/>
      <c r="Y67" s="2503"/>
      <c r="Z67" s="2503"/>
      <c r="AA67" s="2503"/>
      <c r="AB67" s="2503"/>
      <c r="AC67" s="2503"/>
      <c r="AD67" s="2503"/>
      <c r="AE67" s="2503"/>
      <c r="AF67" s="2503"/>
      <c r="AG67" s="2503"/>
      <c r="AH67" s="2503"/>
      <c r="AI67" s="2503"/>
      <c r="AJ67" s="2503"/>
      <c r="AK67" s="2503"/>
      <c r="AL67" s="2503"/>
      <c r="AM67" s="2503"/>
      <c r="AN67" s="2503"/>
      <c r="AO67" s="2503"/>
      <c r="AP67" s="2503"/>
      <c r="AQ67" s="2503"/>
      <c r="AR67" s="2503"/>
      <c r="AS67" s="2503"/>
      <c r="AT67" s="2503"/>
      <c r="AU67" s="2503"/>
      <c r="AV67" s="2503"/>
      <c r="AW67" s="2503"/>
      <c r="AX67" s="2503"/>
      <c r="AY67" s="2503"/>
      <c r="AZ67" s="2503"/>
      <c r="BA67" s="2503"/>
      <c r="BB67" s="2503"/>
      <c r="BC67" s="2503"/>
      <c r="BI67" s="1074">
        <v>14</v>
      </c>
    </row>
    <row r="68" spans="1:61" ht="14.65" customHeight="1">
      <c r="O68" s="474"/>
      <c r="BI68" s="1074">
        <v>14</v>
      </c>
    </row>
    <row r="69" spans="1:61" ht="14.25" hidden="1" customHeight="1">
      <c r="A69" s="1079" t="s">
        <v>81</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8">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8">
        <v>10</v>
      </c>
      <c r="BE69" s="448">
        <v>10</v>
      </c>
      <c r="BF69" s="448">
        <v>10</v>
      </c>
      <c r="BG69" s="448">
        <v>10</v>
      </c>
      <c r="BH69" s="448">
        <v>10</v>
      </c>
      <c r="BI69" s="1074">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D2" sqref="D2:I16"/>
    </sheetView>
  </sheetViews>
  <sheetFormatPr defaultColWidth="9.140625" defaultRowHeight="14.25" customHeight="1"/>
  <cols>
    <col min="1" max="1" width="8" style="2238" hidden="1" customWidth="1"/>
    <col min="2" max="2" width="6" style="2244" hidden="1" customWidth="1"/>
    <col min="3" max="3" width="3" style="2238" customWidth="1"/>
    <col min="4" max="4" width="3" style="2250" customWidth="1"/>
    <col min="5" max="5" width="6" style="2238" customWidth="1"/>
    <col min="6" max="6" width="2.7109375" style="2238" hidden="1" customWidth="1"/>
    <col min="7" max="7" width="46.7109375" style="2238" customWidth="1"/>
    <col min="8" max="8" width="42" style="2238" customWidth="1"/>
    <col min="9" max="9" width="14" style="2238" customWidth="1"/>
    <col min="10" max="10" width="3" style="2251" customWidth="1"/>
    <col min="11" max="13" width="9.140625" style="2251" hidden="1"/>
    <col min="14" max="14" width="25.7109375" style="2251" hidden="1" customWidth="1"/>
    <col min="15" max="15" width="14.42578125" style="2251" hidden="1" customWidth="1"/>
    <col min="16" max="19" width="9.140625" style="2252" hidden="1"/>
    <col min="20" max="27" width="9.140625" style="2238" hidden="1"/>
    <col min="28" max="28" width="8" style="2238" customWidth="1"/>
    <col min="29" max="29" width="9.140625" style="2238" hidden="1"/>
  </cols>
  <sheetData>
    <row r="1" spans="1:29" s="2245" customFormat="1" ht="5.25" hidden="1" customHeight="1">
      <c r="A1" s="433"/>
      <c r="B1" s="448"/>
      <c r="C1" s="448"/>
      <c r="D1" s="158"/>
      <c r="F1" s="448"/>
      <c r="G1" s="184" t="s">
        <v>82</v>
      </c>
      <c r="H1" s="431" t="s">
        <v>83</v>
      </c>
      <c r="I1" s="164" t="s">
        <v>84</v>
      </c>
      <c r="J1" s="184" t="s">
        <v>82</v>
      </c>
      <c r="K1" s="184"/>
      <c r="L1" s="184"/>
      <c r="M1" s="184"/>
      <c r="N1" s="185"/>
      <c r="O1" s="184"/>
      <c r="P1" s="184"/>
      <c r="Q1" s="184"/>
      <c r="R1" s="184"/>
      <c r="S1" s="184"/>
      <c r="T1" s="164"/>
      <c r="U1" s="164"/>
      <c r="V1" s="164"/>
      <c r="W1" s="164"/>
      <c r="X1" s="164"/>
      <c r="Y1" s="164"/>
      <c r="Z1" s="164"/>
      <c r="AA1" s="164"/>
      <c r="AB1" s="164"/>
      <c r="AC1" s="90" t="s">
        <v>14</v>
      </c>
    </row>
    <row r="2" spans="1:29" s="2246"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247" customFormat="1" ht="3" customHeight="1">
      <c r="A3" s="693"/>
      <c r="B3" s="354"/>
      <c r="C3" s="693"/>
      <c r="D3" s="101"/>
      <c r="E3" s="43"/>
      <c r="F3" s="446"/>
      <c r="G3" s="43"/>
      <c r="H3" s="43"/>
      <c r="I3" s="103"/>
      <c r="J3" s="184"/>
      <c r="K3" s="93"/>
      <c r="L3" s="93"/>
      <c r="M3" s="93"/>
      <c r="N3" s="163"/>
      <c r="O3" s="93"/>
      <c r="P3" s="162"/>
      <c r="Q3" s="162"/>
      <c r="R3" s="162"/>
      <c r="S3" s="162"/>
      <c r="AC3" s="56">
        <v>3</v>
      </c>
    </row>
    <row r="4" spans="1:29" s="2247" customFormat="1" ht="27.4" customHeight="1">
      <c r="A4" s="693"/>
      <c r="B4" s="354"/>
      <c r="C4" s="693"/>
      <c r="D4" s="101"/>
      <c r="E4" s="2339" t="str">
        <f>NameTemplatesInListMO</f>
        <v>Перечень муниципальных районов и муниципальных образований (территорий оказания услуг)</v>
      </c>
      <c r="F4" s="2339"/>
      <c r="G4" s="2339"/>
      <c r="H4" s="2339"/>
      <c r="I4" s="2339"/>
      <c r="J4" s="184"/>
      <c r="K4" s="93"/>
      <c r="L4" s="93"/>
      <c r="M4" s="93"/>
      <c r="N4" s="163"/>
      <c r="O4" s="93"/>
      <c r="P4" s="162"/>
      <c r="Q4" s="162"/>
      <c r="R4" s="162"/>
      <c r="S4" s="162"/>
      <c r="AC4" s="56">
        <v>26</v>
      </c>
    </row>
    <row r="5" spans="1:29" s="2247" customFormat="1" ht="3" customHeight="1">
      <c r="A5" s="693"/>
      <c r="B5" s="354"/>
      <c r="C5" s="693"/>
      <c r="D5" s="101"/>
      <c r="E5" s="43"/>
      <c r="F5" s="446"/>
      <c r="G5" s="104"/>
      <c r="H5" s="104"/>
      <c r="I5" s="105"/>
      <c r="J5" s="93"/>
      <c r="K5" s="93"/>
      <c r="L5" s="93"/>
      <c r="M5" s="93"/>
      <c r="N5" s="163"/>
      <c r="O5" s="93"/>
      <c r="P5" s="162"/>
      <c r="Q5" s="162"/>
      <c r="R5" s="162"/>
      <c r="S5" s="162"/>
      <c r="AC5" s="56">
        <v>3</v>
      </c>
    </row>
    <row r="6" spans="1:29" s="2247" customFormat="1" ht="20.25" hidden="1" customHeight="1">
      <c r="A6" s="768"/>
      <c r="B6" s="764"/>
      <c r="C6" s="106"/>
      <c r="D6" s="101"/>
      <c r="E6" s="711"/>
      <c r="F6" s="711"/>
      <c r="G6" s="104"/>
      <c r="H6" s="107"/>
      <c r="I6" s="107"/>
      <c r="J6" s="93"/>
      <c r="K6" s="93"/>
      <c r="L6" s="93"/>
      <c r="M6" s="93"/>
      <c r="N6" s="163"/>
      <c r="O6" s="93"/>
      <c r="P6" s="162"/>
      <c r="Q6" s="162"/>
      <c r="R6" s="162"/>
      <c r="S6" s="162"/>
      <c r="AC6" s="56">
        <v>0</v>
      </c>
    </row>
    <row r="7" spans="1:29" ht="25.5" hidden="1" customHeight="1">
      <c r="AC7" s="23">
        <v>0</v>
      </c>
    </row>
    <row r="8" spans="1:29" s="2247" customFormat="1" ht="14.65" customHeight="1">
      <c r="A8" s="693"/>
      <c r="B8" s="354"/>
      <c r="C8" s="693"/>
      <c r="D8" s="101"/>
      <c r="E8" s="2335" t="s">
        <v>85</v>
      </c>
      <c r="F8" s="2340"/>
      <c r="G8" s="2334"/>
      <c r="H8" s="2341" t="s">
        <v>86</v>
      </c>
      <c r="I8" s="2341"/>
      <c r="J8" s="93"/>
      <c r="K8" s="93"/>
      <c r="L8" s="93"/>
      <c r="M8" s="93"/>
      <c r="N8" s="163"/>
      <c r="O8" s="93"/>
      <c r="P8" s="162"/>
      <c r="Q8" s="162"/>
      <c r="R8" s="162"/>
      <c r="S8" s="162"/>
      <c r="AC8" s="56">
        <v>14</v>
      </c>
    </row>
    <row r="9" spans="1:29" s="2247" customFormat="1" ht="21" customHeight="1">
      <c r="A9" s="693"/>
      <c r="B9" s="354"/>
      <c r="C9" s="693"/>
      <c r="D9" s="101"/>
      <c r="E9" s="709" t="s">
        <v>87</v>
      </c>
      <c r="F9" s="709"/>
      <c r="G9" s="109" t="s">
        <v>88</v>
      </c>
      <c r="H9" s="109" t="s">
        <v>88</v>
      </c>
      <c r="I9" s="109" t="s">
        <v>84</v>
      </c>
      <c r="J9" s="93"/>
      <c r="K9" s="93"/>
      <c r="L9" s="93"/>
      <c r="M9" s="93"/>
      <c r="N9" s="163"/>
      <c r="O9" s="93"/>
      <c r="P9" s="162"/>
      <c r="Q9" s="162"/>
      <c r="R9" s="162"/>
      <c r="S9" s="162"/>
      <c r="AC9" s="56">
        <v>20</v>
      </c>
    </row>
    <row r="10" spans="1:29" ht="11.45" customHeight="1">
      <c r="D10" s="113"/>
      <c r="E10" s="710" t="s">
        <v>89</v>
      </c>
      <c r="F10" s="710"/>
      <c r="G10" s="160" t="s">
        <v>90</v>
      </c>
      <c r="H10" s="160" t="s">
        <v>91</v>
      </c>
      <c r="I10" s="160" t="s">
        <v>92</v>
      </c>
      <c r="J10" s="123"/>
      <c r="K10" s="123"/>
      <c r="L10" s="123"/>
      <c r="M10" s="123"/>
      <c r="N10" s="108"/>
      <c r="O10" s="123"/>
      <c r="P10" s="161"/>
      <c r="Q10" s="161"/>
      <c r="R10" s="161"/>
      <c r="S10" s="161"/>
      <c r="AC10" s="23">
        <v>11</v>
      </c>
    </row>
    <row r="11" spans="1:29" s="2247" customFormat="1" ht="1.1499999999999999" customHeight="1">
      <c r="A11" s="693"/>
      <c r="B11" s="354"/>
      <c r="C11" s="693"/>
      <c r="D11" s="101"/>
      <c r="E11" s="721"/>
      <c r="F11" s="721"/>
      <c r="G11" s="110"/>
      <c r="H11" s="110"/>
      <c r="I11" s="112"/>
      <c r="J11" s="186" t="s">
        <v>93</v>
      </c>
      <c r="K11" s="93"/>
      <c r="L11" s="93"/>
      <c r="M11" s="93" t="s">
        <v>94</v>
      </c>
      <c r="N11" s="163" t="s">
        <v>95</v>
      </c>
      <c r="O11" s="93" t="s">
        <v>96</v>
      </c>
      <c r="P11" s="162"/>
      <c r="Q11" s="162"/>
      <c r="R11" s="162"/>
      <c r="S11" s="162"/>
      <c r="AC11" s="56">
        <v>1</v>
      </c>
    </row>
    <row r="12" spans="1:29" s="2247" customFormat="1" ht="15" customHeight="1">
      <c r="A12" s="2338">
        <v>1</v>
      </c>
      <c r="B12" s="354"/>
      <c r="C12" s="693"/>
      <c r="D12" s="713"/>
      <c r="E12" s="156">
        <f>A12</f>
        <v>1</v>
      </c>
      <c r="F12" s="733" t="s">
        <v>97</v>
      </c>
      <c r="G12" s="477" t="str">
        <f>"Территория "&amp;E12</f>
        <v>Территория 1</v>
      </c>
      <c r="H12" s="723"/>
      <c r="I12" s="723"/>
      <c r="J12" s="720"/>
      <c r="K12" s="437"/>
      <c r="L12" s="437"/>
      <c r="M12" s="437"/>
      <c r="N12" s="163"/>
      <c r="O12" s="437"/>
      <c r="P12" s="162"/>
      <c r="Q12" s="162"/>
      <c r="R12" s="162"/>
      <c r="S12" s="162"/>
      <c r="AC12" s="444">
        <v>14</v>
      </c>
    </row>
    <row r="13" spans="1:29" s="2248" customFormat="1" ht="15.75" customHeight="1">
      <c r="A13" s="2338"/>
      <c r="B13" s="354">
        <v>1</v>
      </c>
      <c r="C13" s="354"/>
      <c r="D13" s="731"/>
      <c r="E13" s="712" t="str">
        <f>A12&amp;"."&amp;B13</f>
        <v>1.1</v>
      </c>
      <c r="F13" s="726" t="s">
        <v>98</v>
      </c>
      <c r="G13" s="724" t="s">
        <v>99</v>
      </c>
      <c r="H13" s="724" t="s">
        <v>99</v>
      </c>
      <c r="I13" s="722" t="s">
        <v>100</v>
      </c>
      <c r="J13" s="437" t="e">
        <f ca="1">MERGEVALUE(G13)</f>
        <v>#NAME?</v>
      </c>
      <c r="K13" s="448"/>
      <c r="L13" s="448"/>
      <c r="M13" s="437" t="str">
        <f t="array" ref="M13">IF(ISERROR(MATCH(MID(N13,1,250),MID(note_ter,1,250),0)),"n","y")</f>
        <v>n</v>
      </c>
      <c r="N13" s="448"/>
      <c r="O13" s="437" t="str">
        <f>H13&amp;"("&amp;I13&amp;")"</f>
        <v>г. Йошкар-Ола(88701000)</v>
      </c>
      <c r="P13" s="354"/>
      <c r="Q13" s="354"/>
      <c r="R13" s="357"/>
      <c r="S13" s="354"/>
      <c r="T13" s="354"/>
      <c r="U13" s="354"/>
      <c r="V13" s="359"/>
      <c r="W13" s="359"/>
      <c r="X13" s="356"/>
      <c r="Y13" s="356"/>
      <c r="Z13" s="356"/>
      <c r="AA13" s="356"/>
      <c r="AB13" s="356"/>
      <c r="AC13" s="360">
        <v>15</v>
      </c>
    </row>
    <row r="14" spans="1:29" s="2248" customFormat="1" ht="15.75" customHeight="1">
      <c r="A14" s="2338"/>
      <c r="B14" s="354"/>
      <c r="C14" s="349"/>
      <c r="D14" s="732"/>
      <c r="E14" s="358"/>
      <c r="F14" s="114"/>
      <c r="G14" s="352" t="s">
        <v>101</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2247" customFormat="1" ht="14.65" customHeight="1">
      <c r="A15" s="693"/>
      <c r="B15" s="354"/>
      <c r="C15" s="693"/>
      <c r="D15" s="713"/>
      <c r="E15" s="725"/>
      <c r="F15" s="115"/>
      <c r="G15" s="353" t="s">
        <v>102</v>
      </c>
      <c r="H15" s="115"/>
      <c r="I15" s="116"/>
      <c r="J15" s="186"/>
      <c r="K15" s="93"/>
      <c r="L15" s="93"/>
      <c r="M15" s="93"/>
      <c r="N15" s="163" t="s">
        <v>103</v>
      </c>
      <c r="O15" s="93"/>
      <c r="P15" s="162"/>
      <c r="Q15" s="162"/>
      <c r="R15" s="162"/>
      <c r="S15" s="162"/>
      <c r="AC15" s="56">
        <v>14</v>
      </c>
    </row>
    <row r="16" spans="1:29" s="2247" customFormat="1" ht="21.95" customHeight="1">
      <c r="A16" s="693"/>
      <c r="B16" s="354"/>
      <c r="C16" s="693"/>
      <c r="D16" s="102"/>
      <c r="E16" s="117"/>
      <c r="F16" s="117"/>
      <c r="G16" s="117"/>
      <c r="H16" s="117"/>
      <c r="I16" s="117"/>
      <c r="J16" s="93"/>
      <c r="K16" s="93"/>
      <c r="L16" s="93"/>
      <c r="M16" s="93"/>
      <c r="N16" s="163"/>
      <c r="O16" s="93"/>
      <c r="P16" s="162"/>
      <c r="Q16" s="162"/>
      <c r="R16" s="162"/>
      <c r="S16" s="162"/>
      <c r="AC16" s="56">
        <v>21</v>
      </c>
    </row>
    <row r="17" spans="1:29" s="2247" customFormat="1" ht="14.65" customHeight="1">
      <c r="A17" s="693"/>
      <c r="B17" s="354"/>
      <c r="C17" s="693"/>
      <c r="D17" s="102"/>
      <c r="E17" s="23"/>
      <c r="F17" s="693"/>
      <c r="G17" s="23"/>
      <c r="H17" s="23"/>
      <c r="I17" s="23"/>
      <c r="J17" s="93"/>
      <c r="K17" s="93"/>
      <c r="L17" s="93"/>
      <c r="M17" s="93"/>
      <c r="N17" s="163"/>
      <c r="O17" s="93"/>
      <c r="P17" s="162"/>
      <c r="Q17" s="162"/>
      <c r="R17" s="162"/>
      <c r="S17" s="162"/>
      <c r="AC17" s="56">
        <v>14</v>
      </c>
    </row>
    <row r="18" spans="1:29" s="2247" customFormat="1" ht="1.1499999999999999" customHeight="1">
      <c r="A18" s="693"/>
      <c r="B18" s="354"/>
      <c r="C18" s="693"/>
      <c r="D18" s="102"/>
      <c r="E18" s="23"/>
      <c r="F18" s="693"/>
      <c r="G18" s="23"/>
      <c r="H18" s="23"/>
      <c r="I18" s="23"/>
      <c r="J18" s="93"/>
      <c r="K18" s="93"/>
      <c r="L18" s="93"/>
      <c r="M18" s="93"/>
      <c r="N18" s="163"/>
      <c r="O18" s="93"/>
      <c r="P18" s="162"/>
      <c r="Q18" s="162"/>
      <c r="R18" s="162"/>
      <c r="S18" s="162"/>
      <c r="AC18" s="56">
        <v>1</v>
      </c>
    </row>
    <row r="19" spans="1:29" s="2249" customFormat="1" ht="10.5" customHeight="1">
      <c r="B19" s="765"/>
      <c r="D19" s="119"/>
      <c r="J19" s="93"/>
      <c r="K19" s="93"/>
      <c r="L19" s="93"/>
      <c r="M19" s="93"/>
      <c r="N19" s="163"/>
      <c r="O19" s="93"/>
      <c r="P19" s="162"/>
      <c r="Q19" s="162"/>
      <c r="R19" s="162"/>
      <c r="S19" s="162"/>
      <c r="AC19" s="118">
        <v>10</v>
      </c>
    </row>
    <row r="20" spans="1:29" s="2249" customFormat="1" ht="10.5" customHeight="1">
      <c r="B20" s="765"/>
      <c r="D20" s="119"/>
      <c r="J20" s="93"/>
      <c r="K20" s="93"/>
      <c r="L20" s="93"/>
      <c r="M20" s="93"/>
      <c r="N20" s="163"/>
      <c r="O20" s="93"/>
      <c r="P20" s="162"/>
      <c r="Q20" s="162"/>
      <c r="R20" s="162"/>
      <c r="S20" s="162"/>
      <c r="AC20" s="118">
        <v>10</v>
      </c>
    </row>
    <row r="21" spans="1:29" ht="14.65" customHeight="1">
      <c r="AC21" s="23">
        <v>14</v>
      </c>
    </row>
    <row r="22" spans="1:29" ht="14.65" customHeight="1">
      <c r="AC22" s="23">
        <v>14</v>
      </c>
    </row>
    <row r="23" spans="1:29" ht="14.65" customHeight="1">
      <c r="AC23" s="23">
        <v>14</v>
      </c>
    </row>
    <row r="24" spans="1:29" ht="14.65" customHeight="1">
      <c r="H24" s="3"/>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81</v>
      </c>
      <c r="B29" s="354">
        <v>0</v>
      </c>
      <c r="C29" s="693">
        <v>3</v>
      </c>
      <c r="D29" s="102">
        <v>3</v>
      </c>
      <c r="E29" s="23">
        <v>6</v>
      </c>
      <c r="F29" s="693">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244" hidden="1"/>
    <col min="2" max="2" width="11" style="2244" hidden="1" customWidth="1"/>
    <col min="3" max="3" width="10.5703125" style="2244" hidden="1"/>
    <col min="4" max="4" width="11.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4.140625" style="2244" hidden="1" customWidth="1"/>
    <col min="10" max="10" width="9.85546875" style="2244" hidden="1" customWidth="1"/>
    <col min="11" max="11" width="14.7109375" style="2244" hidden="1" customWidth="1"/>
    <col min="12" max="12" width="19.140625" style="2270" hidden="1" customWidth="1"/>
    <col min="13" max="14" width="12.28515625" style="2271" hidden="1" customWidth="1"/>
    <col min="15" max="15" width="23.42578125" style="2271" hidden="1" customWidth="1"/>
    <col min="16" max="16" width="3" style="2272" customWidth="1"/>
    <col min="17" max="18" width="3" style="2273" customWidth="1"/>
    <col min="19" max="19" width="12" style="2274" customWidth="1"/>
    <col min="20" max="20" width="35" style="2238" customWidth="1"/>
    <col min="21" max="21" width="0.140625" style="2238" customWidth="1"/>
    <col min="22" max="28" width="19.7109375" style="2238" hidden="1" customWidth="1"/>
    <col min="29" max="29" width="11.7109375" style="2238" hidden="1" customWidth="1"/>
    <col min="30" max="30" width="3.7109375" style="2238" hidden="1" customWidth="1"/>
    <col min="31" max="31" width="11.7109375" style="2238" hidden="1" customWidth="1"/>
    <col min="32" max="32" width="8.5703125" style="2238" hidden="1" customWidth="1"/>
    <col min="33" max="33" width="19.7109375" style="2238" customWidth="1"/>
    <col min="34" max="39" width="19" style="2238" customWidth="1"/>
    <col min="40" max="40" width="11" style="2238" customWidth="1"/>
    <col min="41" max="41" width="3.7109375" style="2238" customWidth="1"/>
    <col min="42" max="42" width="11" style="2238" customWidth="1"/>
    <col min="43" max="43" width="8.5703125" style="2238" hidden="1" customWidth="1"/>
    <col min="44" max="44" width="4" style="2238" customWidth="1"/>
    <col min="45" max="45" width="115" style="2238" customWidth="1"/>
    <col min="46" max="50" width="10" style="2245" customWidth="1"/>
    <col min="51" max="51" width="10.5703125" style="2238" hidden="1"/>
  </cols>
  <sheetData>
    <row r="1" spans="1:51" ht="22.5" hidden="1" customHeight="1">
      <c r="AC1" s="264"/>
      <c r="AN1" s="264"/>
      <c r="AY1" s="1074" t="s">
        <v>14</v>
      </c>
    </row>
    <row r="2" spans="1:51" ht="23.25" hidden="1" customHeight="1">
      <c r="A2" s="1282"/>
      <c r="B2" s="1282"/>
      <c r="C2" s="1282"/>
      <c r="D2" s="1282"/>
      <c r="E2" s="2483">
        <v>1</v>
      </c>
      <c r="F2" s="1282"/>
      <c r="G2" s="1282"/>
      <c r="H2" s="1282"/>
      <c r="I2" s="1282"/>
      <c r="J2" s="1282"/>
      <c r="K2" s="1282"/>
      <c r="L2" s="1283"/>
      <c r="M2" s="1284"/>
      <c r="N2" s="1284"/>
      <c r="O2" s="1284"/>
      <c r="P2" s="298"/>
      <c r="Q2" s="297"/>
      <c r="R2" s="292"/>
      <c r="S2" s="1412" t="e">
        <f>INDEX(PT_DIFFERENTIATION_NUM_NTAR,MATCH(A2,PT_DIFFERENTIATION_NTAR_ID,0))</f>
        <v>#N/A</v>
      </c>
      <c r="T2" s="235" t="s">
        <v>123</v>
      </c>
      <c r="U2" s="237"/>
      <c r="V2" s="2469"/>
      <c r="W2" s="2470"/>
      <c r="X2" s="2470"/>
      <c r="Y2" s="2470"/>
      <c r="Z2" s="2470"/>
      <c r="AA2" s="2470"/>
      <c r="AB2" s="2470"/>
      <c r="AC2" s="2470"/>
      <c r="AD2" s="2470"/>
      <c r="AE2" s="2470"/>
      <c r="AF2" s="2471"/>
      <c r="AG2" s="2469" t="e">
        <f>INDEX(PT_DIFFERENTIATION_NTAR,MATCH(A2,PT_DIFFERENTIATION_NTAR_ID,0))</f>
        <v>#N/A</v>
      </c>
      <c r="AH2" s="2470"/>
      <c r="AI2" s="2470"/>
      <c r="AJ2" s="2470"/>
      <c r="AK2" s="2470"/>
      <c r="AL2" s="2470"/>
      <c r="AM2" s="2470"/>
      <c r="AN2" s="2470"/>
      <c r="AO2" s="2470"/>
      <c r="AP2" s="2470"/>
      <c r="AQ2" s="2470"/>
      <c r="AR2" s="2471"/>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74">
        <v>0</v>
      </c>
    </row>
    <row r="3" spans="1:51" ht="23.25" hidden="1" customHeight="1">
      <c r="A3" s="1282"/>
      <c r="B3" s="1282"/>
      <c r="C3" s="1282"/>
      <c r="D3" s="1282"/>
      <c r="E3" s="2484"/>
      <c r="F3" s="2483">
        <v>1</v>
      </c>
      <c r="G3" s="1282"/>
      <c r="H3" s="1282"/>
      <c r="I3" s="1282"/>
      <c r="J3" s="1282"/>
      <c r="K3" s="1282"/>
      <c r="L3" s="1283"/>
      <c r="M3" s="1284"/>
      <c r="N3" s="1284"/>
      <c r="O3" s="1284"/>
      <c r="P3" s="1406"/>
      <c r="Q3" s="289"/>
      <c r="R3" s="290"/>
      <c r="S3" s="1412" t="e">
        <f>INDEX(PT_DIFFERENTIATION_NUM_TER,MATCH(B3,PT_DIFFERENTIATION_TER_ID,0))</f>
        <v>#N/A</v>
      </c>
      <c r="T3" s="245" t="s">
        <v>395</v>
      </c>
      <c r="U3" s="237"/>
      <c r="V3" s="2469"/>
      <c r="W3" s="2470"/>
      <c r="X3" s="2470"/>
      <c r="Y3" s="2470"/>
      <c r="Z3" s="2470"/>
      <c r="AA3" s="2470"/>
      <c r="AB3" s="2470"/>
      <c r="AC3" s="2470"/>
      <c r="AD3" s="2470"/>
      <c r="AE3" s="2470"/>
      <c r="AF3" s="2471"/>
      <c r="AG3" s="2469" t="e">
        <f>INDEX(PT_DIFFERENTIATION_TER,MATCH(B3,PT_DIFFERENTIATION_TER_ID,0))</f>
        <v>#N/A</v>
      </c>
      <c r="AH3" s="2470"/>
      <c r="AI3" s="2470"/>
      <c r="AJ3" s="2470"/>
      <c r="AK3" s="2470"/>
      <c r="AL3" s="2470"/>
      <c r="AM3" s="2470"/>
      <c r="AN3" s="2470"/>
      <c r="AO3" s="2470"/>
      <c r="AP3" s="2470"/>
      <c r="AQ3" s="2470"/>
      <c r="AR3" s="2471"/>
      <c r="AS3" s="1177" t="s">
        <v>396</v>
      </c>
      <c r="AU3" s="437"/>
      <c r="AV3" s="437" t="str">
        <f t="shared" si="0"/>
        <v>Территория действия тарифа</v>
      </c>
      <c r="AW3" s="437"/>
      <c r="AX3" s="437"/>
      <c r="AY3" s="1074">
        <v>0</v>
      </c>
    </row>
    <row r="4" spans="1:51" ht="23.25" hidden="1" customHeight="1">
      <c r="A4" s="1282"/>
      <c r="B4" s="1282"/>
      <c r="C4" s="1282"/>
      <c r="D4" s="1282"/>
      <c r="E4" s="2484"/>
      <c r="F4" s="2484"/>
      <c r="G4" s="2483">
        <v>1</v>
      </c>
      <c r="H4" s="1282"/>
      <c r="I4" s="1282"/>
      <c r="J4" s="1282"/>
      <c r="K4" s="1282"/>
      <c r="L4" s="1283"/>
      <c r="M4" s="1284"/>
      <c r="N4" s="1284"/>
      <c r="O4" s="1284"/>
      <c r="P4" s="291"/>
      <c r="Q4" s="289"/>
      <c r="R4" s="290"/>
      <c r="S4" s="1412" t="e">
        <f>INDEX(PT_DIFFERENTIATION_NUM_CS,MATCH(C4,PT_DIFFERENTIATION_CS_ID,0))</f>
        <v>#N/A</v>
      </c>
      <c r="T4" s="246" t="s">
        <v>528</v>
      </c>
      <c r="U4" s="237"/>
      <c r="V4" s="2469"/>
      <c r="W4" s="2470"/>
      <c r="X4" s="2470"/>
      <c r="Y4" s="2470"/>
      <c r="Z4" s="2470"/>
      <c r="AA4" s="2470"/>
      <c r="AB4" s="2470"/>
      <c r="AC4" s="2470"/>
      <c r="AD4" s="2470"/>
      <c r="AE4" s="2470"/>
      <c r="AF4" s="2471"/>
      <c r="AG4" s="2469" t="e">
        <f>INDEX(PT_DIFFERENTIATION_CS,MATCH(C4,PT_DIFFERENTIATION_CS_ID,0))</f>
        <v>#N/A</v>
      </c>
      <c r="AH4" s="2470"/>
      <c r="AI4" s="2470"/>
      <c r="AJ4" s="2470"/>
      <c r="AK4" s="2470"/>
      <c r="AL4" s="2470"/>
      <c r="AM4" s="2470"/>
      <c r="AN4" s="2470"/>
      <c r="AO4" s="2470"/>
      <c r="AP4" s="2470"/>
      <c r="AQ4" s="2470"/>
      <c r="AR4" s="2471"/>
      <c r="AS4" s="1177" t="s">
        <v>529</v>
      </c>
      <c r="AU4" s="437"/>
      <c r="AV4" s="437" t="str">
        <f t="shared" si="0"/>
        <v>Наименование централизованной системы горячего водоснабжения</v>
      </c>
      <c r="AW4" s="437"/>
      <c r="AX4" s="437"/>
      <c r="AY4" s="1074">
        <v>0</v>
      </c>
    </row>
    <row r="5" spans="1:51" ht="23.25" hidden="1" customHeight="1">
      <c r="A5" s="1282"/>
      <c r="B5" s="1282"/>
      <c r="C5" s="1282"/>
      <c r="D5" s="1282"/>
      <c r="E5" s="2484"/>
      <c r="F5" s="2484"/>
      <c r="G5" s="2484"/>
      <c r="H5" s="2484"/>
      <c r="I5" s="2481" t="e">
        <f>S4&amp;".1"</f>
        <v>#N/A</v>
      </c>
      <c r="J5" s="1282"/>
      <c r="K5" s="1282"/>
      <c r="L5" s="1283"/>
      <c r="P5" s="2482">
        <v>1</v>
      </c>
      <c r="Q5" s="1400"/>
      <c r="R5" s="293"/>
      <c r="S5" s="1412" t="e">
        <f>$I5</f>
        <v>#N/A</v>
      </c>
      <c r="T5" s="222" t="s">
        <v>481</v>
      </c>
      <c r="U5" s="237"/>
      <c r="V5" s="2550"/>
      <c r="W5" s="2551"/>
      <c r="X5" s="2551"/>
      <c r="Y5" s="2551"/>
      <c r="Z5" s="2551"/>
      <c r="AA5" s="2551"/>
      <c r="AB5" s="2551"/>
      <c r="AC5" s="2551"/>
      <c r="AD5" s="2551"/>
      <c r="AE5" s="2551"/>
      <c r="AF5" s="2552"/>
      <c r="AG5" s="2553"/>
      <c r="AH5" s="2554"/>
      <c r="AI5" s="2554"/>
      <c r="AJ5" s="2554"/>
      <c r="AK5" s="2554"/>
      <c r="AL5" s="2554"/>
      <c r="AM5" s="2554"/>
      <c r="AN5" s="2554"/>
      <c r="AO5" s="2554"/>
      <c r="AP5" s="2554"/>
      <c r="AQ5" s="2554"/>
      <c r="AR5" s="2555"/>
      <c r="AS5" s="1177" t="s">
        <v>482</v>
      </c>
      <c r="AU5" s="437"/>
      <c r="AV5" s="437" t="str">
        <f t="shared" si="0"/>
        <v>Наименование признака дифференциации</v>
      </c>
      <c r="AW5" s="437"/>
      <c r="AX5" s="437"/>
      <c r="AY5" s="1074">
        <v>0</v>
      </c>
    </row>
    <row r="6" spans="1:51" ht="23.25" hidden="1" customHeight="1">
      <c r="A6" s="1282"/>
      <c r="B6" s="1282"/>
      <c r="C6" s="1282"/>
      <c r="D6" s="1282"/>
      <c r="E6" s="2484"/>
      <c r="F6" s="2484"/>
      <c r="G6" s="2484"/>
      <c r="H6" s="2484"/>
      <c r="I6" s="2504"/>
      <c r="J6" s="2481" t="e">
        <f>I5&amp;".1"</f>
        <v>#N/A</v>
      </c>
      <c r="K6" s="1282"/>
      <c r="L6" s="1283" t="s">
        <v>404</v>
      </c>
      <c r="P6" s="2482"/>
      <c r="Q6" s="2482">
        <v>1</v>
      </c>
      <c r="R6" s="294"/>
      <c r="S6" s="1412" t="e">
        <f>$J6</f>
        <v>#N/A</v>
      </c>
      <c r="T6" s="223" t="s">
        <v>405</v>
      </c>
      <c r="U6" s="237"/>
      <c r="V6" s="2472"/>
      <c r="W6" s="2473"/>
      <c r="X6" s="2473"/>
      <c r="Y6" s="2473"/>
      <c r="Z6" s="2473"/>
      <c r="AA6" s="2473"/>
      <c r="AB6" s="2473"/>
      <c r="AC6" s="2473"/>
      <c r="AD6" s="2473"/>
      <c r="AE6" s="2473"/>
      <c r="AF6" s="2474"/>
      <c r="AG6" s="2472"/>
      <c r="AH6" s="2473"/>
      <c r="AI6" s="2473"/>
      <c r="AJ6" s="2473"/>
      <c r="AK6" s="2473"/>
      <c r="AL6" s="2473"/>
      <c r="AM6" s="2473"/>
      <c r="AN6" s="2473"/>
      <c r="AO6" s="2473"/>
      <c r="AP6" s="2473"/>
      <c r="AQ6" s="2473"/>
      <c r="AR6" s="2474"/>
      <c r="AS6" s="1226" t="s">
        <v>483</v>
      </c>
      <c r="AU6" s="437"/>
      <c r="AV6" s="437" t="str">
        <f t="shared" si="0"/>
        <v>Группа потребителей</v>
      </c>
      <c r="AW6" s="437"/>
      <c r="AX6" s="437"/>
      <c r="AY6" s="1074">
        <v>0</v>
      </c>
    </row>
    <row r="7" spans="1:51" ht="23.25" hidden="1" customHeight="1">
      <c r="A7" s="1282"/>
      <c r="B7" s="1282"/>
      <c r="C7" s="1282"/>
      <c r="D7" s="1282"/>
      <c r="E7" s="2484"/>
      <c r="F7" s="2484"/>
      <c r="G7" s="2484"/>
      <c r="H7" s="2484"/>
      <c r="I7" s="2504"/>
      <c r="J7" s="2504"/>
      <c r="K7" s="2481" t="e">
        <f>J6&amp;".1"</f>
        <v>#N/A</v>
      </c>
      <c r="L7" s="1283"/>
      <c r="P7" s="2482"/>
      <c r="Q7" s="2482"/>
      <c r="R7" s="294">
        <v>1</v>
      </c>
      <c r="S7" s="1412" t="e">
        <f>$K7</f>
        <v>#N/A</v>
      </c>
      <c r="T7" s="1356"/>
      <c r="U7" s="237"/>
      <c r="V7" s="688"/>
      <c r="W7" s="688"/>
      <c r="X7" s="688"/>
      <c r="Y7" s="688"/>
      <c r="Z7" s="688"/>
      <c r="AA7" s="688"/>
      <c r="AB7" s="688"/>
      <c r="AC7" s="2486"/>
      <c r="AD7" s="2344" t="s">
        <v>64</v>
      </c>
      <c r="AE7" s="2486"/>
      <c r="AF7" s="2344" t="s">
        <v>64</v>
      </c>
      <c r="AG7" s="688"/>
      <c r="AH7" s="688"/>
      <c r="AI7" s="688"/>
      <c r="AJ7" s="688"/>
      <c r="AK7" s="688"/>
      <c r="AL7" s="688"/>
      <c r="AM7" s="688"/>
      <c r="AN7" s="2486"/>
      <c r="AO7" s="2344" t="s">
        <v>64</v>
      </c>
      <c r="AP7" s="2505"/>
      <c r="AQ7" s="2344" t="s">
        <v>64</v>
      </c>
      <c r="AR7" s="1357"/>
      <c r="AS7" s="25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74">
        <v>0</v>
      </c>
    </row>
    <row r="8" spans="1:51" ht="14.25" hidden="1" customHeight="1">
      <c r="A8" s="1282"/>
      <c r="B8" s="1282"/>
      <c r="C8" s="1282"/>
      <c r="D8" s="1282"/>
      <c r="E8" s="2484"/>
      <c r="F8" s="2484"/>
      <c r="G8" s="2484"/>
      <c r="H8" s="2484"/>
      <c r="I8" s="2504"/>
      <c r="J8" s="2504"/>
      <c r="K8" s="2481"/>
      <c r="L8" s="1283"/>
      <c r="P8" s="2482"/>
      <c r="Q8" s="2482"/>
      <c r="R8" s="294"/>
      <c r="S8" s="1409"/>
      <c r="T8" s="237"/>
      <c r="U8" s="237"/>
      <c r="V8" s="262"/>
      <c r="W8" s="262"/>
      <c r="X8" s="262"/>
      <c r="Y8" s="262"/>
      <c r="Z8" s="262"/>
      <c r="AA8" s="262"/>
      <c r="AB8" s="262"/>
      <c r="AC8" s="2487"/>
      <c r="AD8" s="2344"/>
      <c r="AE8" s="2487"/>
      <c r="AF8" s="2344"/>
      <c r="AG8" s="262"/>
      <c r="AH8" s="262"/>
      <c r="AI8" s="262"/>
      <c r="AJ8" s="262"/>
      <c r="AK8" s="262"/>
      <c r="AL8" s="262"/>
      <c r="AM8" s="262"/>
      <c r="AN8" s="2487"/>
      <c r="AO8" s="2344"/>
      <c r="AP8" s="2506"/>
      <c r="AQ8" s="2344"/>
      <c r="AR8" s="1358"/>
      <c r="AS8" s="2549"/>
      <c r="AU8" s="437"/>
      <c r="AV8" s="437" t="str">
        <f t="shared" si="0"/>
        <v/>
      </c>
      <c r="AW8" s="437"/>
      <c r="AX8" s="437"/>
      <c r="AY8" s="1074">
        <v>0</v>
      </c>
    </row>
    <row r="9" spans="1:51" ht="21" hidden="1" customHeight="1">
      <c r="A9" s="1282"/>
      <c r="B9" s="1282"/>
      <c r="C9" s="1282"/>
      <c r="D9" s="1282"/>
      <c r="E9" s="2484"/>
      <c r="F9" s="2484"/>
      <c r="G9" s="2484"/>
      <c r="H9" s="2484"/>
      <c r="I9" s="2504"/>
      <c r="J9" s="2481"/>
      <c r="K9" s="1282"/>
      <c r="L9" s="1283"/>
      <c r="P9" s="2482"/>
      <c r="Q9" s="2482"/>
      <c r="R9" s="293"/>
      <c r="S9" s="1197"/>
      <c r="T9" s="224" t="s">
        <v>484</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77" t="s">
        <v>485</v>
      </c>
      <c r="AU9" s="437"/>
      <c r="AV9" s="437" t="str">
        <f t="shared" si="0"/>
        <v>Добавить значение признака дифференциации</v>
      </c>
      <c r="AW9" s="437"/>
      <c r="AX9" s="437"/>
      <c r="AY9" s="1074">
        <v>0</v>
      </c>
    </row>
    <row r="10" spans="1:51" ht="21" hidden="1" customHeight="1">
      <c r="A10" s="1282"/>
      <c r="B10" s="1282"/>
      <c r="C10" s="1282"/>
      <c r="D10" s="1282"/>
      <c r="E10" s="2484"/>
      <c r="F10" s="2484"/>
      <c r="G10" s="2484"/>
      <c r="H10" s="2484"/>
      <c r="I10" s="2481"/>
      <c r="J10" s="1282"/>
      <c r="K10" s="1282"/>
      <c r="L10" s="1283"/>
      <c r="P10" s="2482"/>
      <c r="Q10" s="1400"/>
      <c r="R10" s="293"/>
      <c r="S10" s="1197"/>
      <c r="T10" s="302" t="s">
        <v>410</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59"/>
      <c r="AU10" s="437"/>
      <c r="AV10" s="437" t="str">
        <f t="shared" si="0"/>
        <v>Добавить группу потребителей</v>
      </c>
      <c r="AW10" s="437"/>
      <c r="AX10" s="437"/>
      <c r="AY10" s="1074">
        <v>0</v>
      </c>
    </row>
    <row r="11" spans="1:51" ht="21" hidden="1" customHeight="1">
      <c r="A11" s="1282"/>
      <c r="B11" s="1282"/>
      <c r="C11" s="1282"/>
      <c r="D11" s="1282"/>
      <c r="E11" s="2484"/>
      <c r="F11" s="2484"/>
      <c r="G11" s="2484"/>
      <c r="H11" s="2483"/>
      <c r="I11" s="1282"/>
      <c r="J11" s="1282"/>
      <c r="K11" s="1282"/>
      <c r="L11" s="1283"/>
      <c r="M11" s="1284"/>
      <c r="N11" s="1284"/>
      <c r="O11" s="474"/>
      <c r="P11" s="297"/>
      <c r="Q11" s="312"/>
      <c r="R11" s="292"/>
      <c r="S11" s="1197"/>
      <c r="T11" s="309" t="s">
        <v>486</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74">
        <v>0</v>
      </c>
    </row>
    <row r="12" spans="1:51" s="2245" customFormat="1" ht="14.25" hidden="1" customHeight="1">
      <c r="A12" s="1262"/>
      <c r="B12" s="1262"/>
      <c r="C12" s="1233"/>
      <c r="D12" s="1233"/>
      <c r="E12" s="2484"/>
      <c r="F12" s="2483"/>
      <c r="G12" s="1233"/>
      <c r="H12" s="1233"/>
      <c r="I12" s="1233"/>
      <c r="J12" s="1233"/>
      <c r="K12" s="1233"/>
      <c r="L12" s="1413"/>
      <c r="M12" s="1240"/>
      <c r="N12" s="1240"/>
      <c r="P12" s="1235"/>
      <c r="Q12" s="1236"/>
      <c r="R12" s="1235"/>
      <c r="S12" s="1241"/>
      <c r="T12" s="1244" t="s">
        <v>413</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20"/>
      <c r="AV12" s="720" t="str">
        <f t="shared" si="0"/>
        <v>Добавить централизованную систему для дифференциации</v>
      </c>
      <c r="AW12" s="720"/>
      <c r="AX12" s="720"/>
      <c r="AY12" s="455">
        <v>0</v>
      </c>
    </row>
    <row r="13" spans="1:51" s="2245" customFormat="1" ht="14.25" hidden="1" customHeight="1">
      <c r="A13" s="1262"/>
      <c r="B13" s="1262"/>
      <c r="C13" s="1262"/>
      <c r="D13" s="1262"/>
      <c r="E13" s="2483"/>
      <c r="F13" s="1262"/>
      <c r="G13" s="1262"/>
      <c r="H13" s="1262"/>
      <c r="I13" s="1262"/>
      <c r="J13" s="1262"/>
      <c r="K13" s="1262"/>
      <c r="L13" s="1265"/>
      <c r="M13" s="1240"/>
      <c r="N13" s="1240"/>
      <c r="O13" s="455"/>
      <c r="P13" s="317"/>
      <c r="Q13" s="1263"/>
      <c r="R13" s="317"/>
      <c r="S13" s="1241"/>
      <c r="T13" s="1244" t="s">
        <v>414</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7"/>
      <c r="AV13" s="437" t="str">
        <f t="shared" si="0"/>
        <v>Добавить территорию для дифференциации</v>
      </c>
      <c r="AW13" s="437"/>
      <c r="AX13" s="437"/>
      <c r="AY13" s="448">
        <v>0</v>
      </c>
    </row>
    <row r="14" spans="1:51" ht="14.25" hidden="1" customHeight="1">
      <c r="AF14" s="264"/>
      <c r="AQ14" s="264"/>
      <c r="AY14" s="1074">
        <v>0</v>
      </c>
    </row>
    <row r="15" spans="1:51" ht="14.25" hidden="1" customHeight="1">
      <c r="AG15" s="1279"/>
      <c r="AH15" s="1279"/>
      <c r="AI15" s="1279"/>
      <c r="AJ15" s="1279"/>
      <c r="AK15" s="1279"/>
      <c r="AL15" s="1279"/>
      <c r="AM15" s="1279"/>
      <c r="AN15" s="2488"/>
      <c r="AO15" s="2489" t="s">
        <v>64</v>
      </c>
      <c r="AP15" s="2488"/>
      <c r="AQ15" s="2489" t="s">
        <v>64</v>
      </c>
      <c r="AY15" s="1074">
        <v>0</v>
      </c>
    </row>
    <row r="16" spans="1:51" ht="14.25" hidden="1" customHeight="1">
      <c r="AG16" s="1279"/>
      <c r="AH16" s="1279"/>
      <c r="AI16" s="1279"/>
      <c r="AJ16" s="1279"/>
      <c r="AK16" s="1279"/>
      <c r="AL16" s="1279"/>
      <c r="AM16" s="1279"/>
      <c r="AN16" s="2489"/>
      <c r="AO16" s="2489"/>
      <c r="AP16" s="2489"/>
      <c r="AQ16" s="2489"/>
      <c r="AY16" s="1074">
        <v>0</v>
      </c>
    </row>
    <row r="17" spans="1:51" ht="14.25" hidden="1" customHeight="1">
      <c r="AQ17" s="264"/>
      <c r="AY17" s="1074">
        <v>0</v>
      </c>
    </row>
    <row r="18" spans="1:51" s="2244" customFormat="1" ht="22.5" hidden="1" customHeight="1">
      <c r="L18" s="1397"/>
      <c r="M18" s="1281"/>
      <c r="N18" s="1281"/>
      <c r="O18" s="1286" t="s">
        <v>415</v>
      </c>
      <c r="P18" s="1281"/>
      <c r="Q18" s="1290"/>
      <c r="R18" s="1290"/>
      <c r="S18" s="666"/>
      <c r="W18" s="1285"/>
      <c r="X18" s="1285"/>
      <c r="Y18" s="1285"/>
      <c r="Z18" s="1285"/>
      <c r="AA18" s="1285"/>
      <c r="AB18" s="1285"/>
      <c r="AC18" s="1286"/>
      <c r="AE18" s="1286"/>
      <c r="AF18" s="1285"/>
      <c r="AH18" s="1285"/>
      <c r="AI18" s="1285"/>
      <c r="AJ18" s="1285"/>
      <c r="AK18" s="1285"/>
      <c r="AL18" s="1285"/>
      <c r="AN18" s="1286"/>
      <c r="AP18" s="1286"/>
      <c r="AQ18" s="1285"/>
      <c r="AT18" s="448"/>
      <c r="AU18" s="448"/>
      <c r="AV18" s="448"/>
      <c r="AW18" s="448"/>
      <c r="AX18" s="448"/>
      <c r="AY18" s="1079">
        <v>0</v>
      </c>
    </row>
    <row r="19" spans="1:51" s="2244" customFormat="1" ht="14.25" hidden="1" customHeight="1">
      <c r="L19" s="1397"/>
      <c r="M19" s="1281"/>
      <c r="N19" s="1281"/>
      <c r="O19" s="1281"/>
      <c r="P19" s="1281"/>
      <c r="Q19" s="1290"/>
      <c r="R19" s="1290"/>
      <c r="S19" s="666"/>
      <c r="W19" s="1285"/>
      <c r="X19" s="1285"/>
      <c r="Y19" s="1285"/>
      <c r="Z19" s="1285"/>
      <c r="AA19" s="1285"/>
      <c r="AB19" s="1285"/>
      <c r="AF19" s="1285"/>
      <c r="AH19" s="1285"/>
      <c r="AI19" s="1285"/>
      <c r="AJ19" s="1285"/>
      <c r="AK19" s="1285"/>
      <c r="AL19" s="1285"/>
      <c r="AQ19" s="1285"/>
      <c r="AT19" s="448"/>
      <c r="AU19" s="448"/>
      <c r="AV19" s="448"/>
      <c r="AW19" s="448"/>
      <c r="AX19" s="448"/>
      <c r="AY19" s="1079">
        <v>0</v>
      </c>
    </row>
    <row r="20" spans="1:51" s="2244" customFormat="1" ht="12" hidden="1" customHeight="1">
      <c r="L20" s="1397"/>
      <c r="M20" s="1281"/>
      <c r="N20" s="1281"/>
      <c r="O20" s="1283" t="s">
        <v>416</v>
      </c>
      <c r="P20" s="1281"/>
      <c r="Q20" s="1361"/>
      <c r="R20" s="1361"/>
      <c r="S20" s="666"/>
      <c r="T20" s="1079" t="s">
        <v>417</v>
      </c>
      <c r="W20" s="1285"/>
      <c r="X20" s="1285"/>
      <c r="Y20" s="1285"/>
      <c r="Z20" s="1285"/>
      <c r="AA20" s="1285"/>
      <c r="AB20" s="1285"/>
      <c r="AD20" s="123" t="s">
        <v>418</v>
      </c>
      <c r="AF20" s="123" t="s">
        <v>419</v>
      </c>
      <c r="AG20" s="1079" t="s">
        <v>417</v>
      </c>
      <c r="AH20" s="1285"/>
      <c r="AI20" s="1285"/>
      <c r="AJ20" s="1285"/>
      <c r="AK20" s="1285"/>
      <c r="AL20" s="1285"/>
      <c r="AO20" s="123" t="s">
        <v>420</v>
      </c>
      <c r="AQ20" s="123" t="s">
        <v>419</v>
      </c>
      <c r="AY20" s="1079">
        <v>0</v>
      </c>
    </row>
    <row r="21" spans="1:51" ht="14.25" hidden="1" customHeight="1">
      <c r="O21" s="1283"/>
      <c r="AY21" s="1074">
        <v>0</v>
      </c>
    </row>
    <row r="22" spans="1:51" ht="14.25" hidden="1" customHeight="1">
      <c r="O22" s="1283"/>
      <c r="AY22" s="1074">
        <v>0</v>
      </c>
    </row>
    <row r="23" spans="1:51" ht="14.65" customHeight="1">
      <c r="Q23" s="313"/>
      <c r="R23" s="313"/>
      <c r="S23" s="1194"/>
      <c r="T23" s="300"/>
      <c r="U23" s="300"/>
      <c r="V23" s="446"/>
      <c r="W23" s="1554"/>
      <c r="X23" s="1554"/>
      <c r="Y23" s="1554"/>
      <c r="Z23" s="1554"/>
      <c r="AA23" s="1554"/>
      <c r="AB23" s="1554"/>
      <c r="AC23" s="446"/>
      <c r="AD23" s="446"/>
      <c r="AE23" s="446"/>
      <c r="AF23" s="446"/>
      <c r="AG23" s="446"/>
      <c r="AH23" s="1554"/>
      <c r="AI23" s="1554"/>
      <c r="AJ23" s="1554"/>
      <c r="AK23" s="1554"/>
      <c r="AL23" s="1554"/>
      <c r="AM23" s="446"/>
      <c r="AN23" s="446"/>
      <c r="AO23" s="446"/>
      <c r="AP23" s="446"/>
      <c r="AQ23" s="446"/>
      <c r="AY23" s="1074">
        <v>14</v>
      </c>
    </row>
    <row r="24" spans="1:51" ht="26.25" customHeight="1">
      <c r="Q24" s="313"/>
      <c r="R24" s="313"/>
      <c r="S24" s="246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67"/>
      <c r="U24" s="2467"/>
      <c r="V24" s="2467"/>
      <c r="W24" s="2467"/>
      <c r="X24" s="2467"/>
      <c r="Y24" s="2467"/>
      <c r="Z24" s="2467"/>
      <c r="AA24" s="2467"/>
      <c r="AB24" s="2467"/>
      <c r="AC24" s="2467"/>
      <c r="AD24" s="2467"/>
      <c r="AE24" s="2467"/>
      <c r="AF24" s="2467"/>
      <c r="AG24" s="2467"/>
      <c r="AH24" s="2467"/>
      <c r="AI24" s="2467"/>
      <c r="AJ24" s="2467"/>
      <c r="AK24" s="2467"/>
      <c r="AL24" s="2467"/>
      <c r="AM24" s="2467"/>
      <c r="AN24" s="2467"/>
      <c r="AO24" s="2467"/>
      <c r="AP24" s="2467"/>
      <c r="AQ24" s="1162"/>
      <c r="AY24" s="1074">
        <v>25</v>
      </c>
    </row>
    <row r="25" spans="1:51" ht="14.65" customHeight="1">
      <c r="Q25" s="313"/>
      <c r="R25" s="313"/>
      <c r="S25" s="2412" t="str">
        <f>IF(org=0,"Не определено",org)</f>
        <v>МУП "Водоканал"</v>
      </c>
      <c r="T25" s="2412"/>
      <c r="U25" s="2412"/>
      <c r="V25" s="2412"/>
      <c r="W25" s="2412"/>
      <c r="X25" s="2412"/>
      <c r="Y25" s="2412"/>
      <c r="Z25" s="2412"/>
      <c r="AA25" s="2412"/>
      <c r="AB25" s="2412"/>
      <c r="AC25" s="2412"/>
      <c r="AD25" s="2412"/>
      <c r="AE25" s="2412"/>
      <c r="AF25" s="2412"/>
      <c r="AG25" s="2412"/>
      <c r="AH25" s="2412"/>
      <c r="AI25" s="2412"/>
      <c r="AJ25" s="2412"/>
      <c r="AK25" s="2412"/>
      <c r="AL25" s="2412"/>
      <c r="AM25" s="2412"/>
      <c r="AN25" s="2412"/>
      <c r="AO25" s="2412"/>
      <c r="AP25" s="2412"/>
      <c r="AQ25" s="1162"/>
      <c r="AY25" s="1074">
        <v>14</v>
      </c>
    </row>
    <row r="26" spans="1:51" ht="14.25" hidden="1" customHeight="1">
      <c r="Q26" s="313"/>
      <c r="R26" s="313"/>
      <c r="S26" s="1194"/>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74">
        <v>0</v>
      </c>
    </row>
    <row r="27" spans="1:51" s="2254" customFormat="1" ht="25.5" hidden="1" customHeight="1">
      <c r="A27" s="1287"/>
      <c r="B27" s="1287"/>
      <c r="C27" s="1287"/>
      <c r="D27" s="1287"/>
      <c r="E27" s="1287"/>
      <c r="F27" s="1287"/>
      <c r="G27" s="1287"/>
      <c r="H27" s="1287"/>
      <c r="I27" s="1287"/>
      <c r="J27" s="1287"/>
      <c r="K27" s="1287"/>
      <c r="L27" s="1288"/>
      <c r="M27" s="1287"/>
      <c r="N27" s="1287"/>
      <c r="O27" s="1287"/>
      <c r="S27" s="2475" t="s">
        <v>41</v>
      </c>
      <c r="T27" s="2475"/>
      <c r="U27" s="1291"/>
      <c r="V27" s="2476" t="str">
        <f>IF(TITLE_NAME_OR_PR_CHANGE="",IF(TITLE_NAME_OR_PR="","",TITLE_NAME_OR_PR),TITLE_NAME_OR_PR_CHANGE)</f>
        <v/>
      </c>
      <c r="W27" s="2476"/>
      <c r="X27" s="2476"/>
      <c r="Y27" s="2476"/>
      <c r="Z27" s="2476"/>
      <c r="AA27" s="2476"/>
      <c r="AB27" s="2476"/>
      <c r="AC27" s="2476"/>
      <c r="AD27" s="2476"/>
      <c r="AE27" s="2476"/>
      <c r="AF27" s="263"/>
      <c r="AG27" s="2476" t="str">
        <f>IF(TITLE_NAME_OR_PR_CHANGE="",IF(TITLE_NAME_OR_PR="","",TITLE_NAME_OR_PR),TITLE_NAME_OR_PR_CHANGE)</f>
        <v/>
      </c>
      <c r="AH27" s="2476"/>
      <c r="AI27" s="2476"/>
      <c r="AJ27" s="2476"/>
      <c r="AK27" s="2476"/>
      <c r="AL27" s="2476"/>
      <c r="AM27" s="2476"/>
      <c r="AN27" s="2476"/>
      <c r="AO27" s="2476"/>
      <c r="AP27" s="2476"/>
      <c r="AQ27" s="263"/>
      <c r="AR27" s="263"/>
      <c r="AS27" s="217"/>
      <c r="AT27" s="305"/>
      <c r="AU27" s="305"/>
      <c r="AV27" s="305"/>
      <c r="AW27" s="305"/>
      <c r="AX27" s="305"/>
      <c r="AY27" s="355">
        <v>0</v>
      </c>
    </row>
    <row r="28" spans="1:51" s="2254" customFormat="1" ht="18.75" hidden="1" customHeight="1">
      <c r="A28" s="1287"/>
      <c r="B28" s="1287"/>
      <c r="C28" s="1287"/>
      <c r="D28" s="1287"/>
      <c r="E28" s="1287"/>
      <c r="F28" s="1287"/>
      <c r="G28" s="1287"/>
      <c r="H28" s="1287"/>
      <c r="I28" s="1287"/>
      <c r="J28" s="1287"/>
      <c r="K28" s="1287"/>
      <c r="L28" s="1288"/>
      <c r="M28" s="1287"/>
      <c r="N28" s="1287"/>
      <c r="O28" s="1287"/>
      <c r="S28" s="2475" t="s">
        <v>421</v>
      </c>
      <c r="T28" s="2475"/>
      <c r="U28" s="1291"/>
      <c r="V28" s="2485" t="str">
        <f>IF(TITLE_DATE_PR_CHANGE="",IF(TITLE_DATE_PR="","",TITLE_DATE_PR),TITLE_DATE_PR_CHANGE)</f>
        <v/>
      </c>
      <c r="W28" s="2485"/>
      <c r="X28" s="2485"/>
      <c r="Y28" s="2485"/>
      <c r="Z28" s="2485"/>
      <c r="AA28" s="2485"/>
      <c r="AB28" s="2485"/>
      <c r="AC28" s="2485"/>
      <c r="AD28" s="2485"/>
      <c r="AE28" s="2485"/>
      <c r="AF28" s="263"/>
      <c r="AG28" s="2485" t="str">
        <f>IF(TITLE_DATE_PR_CHANGE="",IF(TITLE_DATE_PR="","",TITLE_DATE_PR),TITLE_DATE_PR_CHANGE)</f>
        <v/>
      </c>
      <c r="AH28" s="2485"/>
      <c r="AI28" s="2485"/>
      <c r="AJ28" s="2485"/>
      <c r="AK28" s="2485"/>
      <c r="AL28" s="2485"/>
      <c r="AM28" s="2485"/>
      <c r="AN28" s="2485"/>
      <c r="AO28" s="2485"/>
      <c r="AP28" s="2485"/>
      <c r="AQ28" s="263"/>
      <c r="AR28" s="263"/>
      <c r="AS28" s="217"/>
      <c r="AT28" s="305"/>
      <c r="AU28" s="305"/>
      <c r="AV28" s="305"/>
      <c r="AW28" s="305"/>
      <c r="AX28" s="305"/>
      <c r="AY28" s="355">
        <v>0</v>
      </c>
    </row>
    <row r="29" spans="1:51" s="2254" customFormat="1" ht="18.75" hidden="1" customHeight="1">
      <c r="A29" s="1287"/>
      <c r="B29" s="1287"/>
      <c r="C29" s="1287"/>
      <c r="D29" s="1287"/>
      <c r="E29" s="1287"/>
      <c r="F29" s="1287"/>
      <c r="G29" s="1287"/>
      <c r="H29" s="1287"/>
      <c r="I29" s="1287"/>
      <c r="J29" s="1287"/>
      <c r="K29" s="1287"/>
      <c r="L29" s="1288"/>
      <c r="M29" s="1287"/>
      <c r="N29" s="1287"/>
      <c r="O29" s="1287"/>
      <c r="S29" s="2475" t="s">
        <v>422</v>
      </c>
      <c r="T29" s="2475"/>
      <c r="U29" s="1291"/>
      <c r="V29" s="2476" t="str">
        <f>IF(TITLE_NUMBER_PR_CHANGE="",IF(TITLE_NUMBER_PR="","",TITLE_NUMBER_PR),TITLE_NUMBER_PR_CHANGE)</f>
        <v/>
      </c>
      <c r="W29" s="2476"/>
      <c r="X29" s="2476"/>
      <c r="Y29" s="2476"/>
      <c r="Z29" s="2476"/>
      <c r="AA29" s="2476"/>
      <c r="AB29" s="2476"/>
      <c r="AC29" s="2476"/>
      <c r="AD29" s="2476"/>
      <c r="AE29" s="2476"/>
      <c r="AF29" s="263"/>
      <c r="AG29" s="2476" t="str">
        <f>IF(TITLE_NUMBER_PR_CHANGE="",IF(TITLE_NUMBER_PR="","",TITLE_NUMBER_PR),TITLE_NUMBER_PR_CHANGE)</f>
        <v/>
      </c>
      <c r="AH29" s="2476"/>
      <c r="AI29" s="2476"/>
      <c r="AJ29" s="2476"/>
      <c r="AK29" s="2476"/>
      <c r="AL29" s="2476"/>
      <c r="AM29" s="2476"/>
      <c r="AN29" s="2476"/>
      <c r="AO29" s="2476"/>
      <c r="AP29" s="2476"/>
      <c r="AQ29" s="263"/>
      <c r="AR29" s="263"/>
      <c r="AS29" s="217"/>
      <c r="AT29" s="305"/>
      <c r="AU29" s="305"/>
      <c r="AV29" s="305"/>
      <c r="AW29" s="305"/>
      <c r="AX29" s="305"/>
      <c r="AY29" s="355">
        <v>0</v>
      </c>
    </row>
    <row r="30" spans="1:51" s="2254" customFormat="1" ht="18.75" hidden="1" customHeight="1">
      <c r="A30" s="1287"/>
      <c r="B30" s="1287"/>
      <c r="C30" s="1287"/>
      <c r="D30" s="1287"/>
      <c r="E30" s="1287"/>
      <c r="F30" s="1287"/>
      <c r="G30" s="1287"/>
      <c r="H30" s="1287"/>
      <c r="I30" s="1287"/>
      <c r="J30" s="1287"/>
      <c r="K30" s="1287"/>
      <c r="L30" s="1288"/>
      <c r="M30" s="1287"/>
      <c r="N30" s="1287"/>
      <c r="O30" s="1287"/>
      <c r="S30" s="2475" t="s">
        <v>42</v>
      </c>
      <c r="T30" s="2475"/>
      <c r="U30" s="1291"/>
      <c r="V30" s="2476" t="str">
        <f>IF(TITLE_IST_PUB_CHANGE="",IF(TITLE_IST_PUB="","",TITLE_IST_PUB),TITLE_IST_PUB_CHANGE)</f>
        <v/>
      </c>
      <c r="W30" s="2476"/>
      <c r="X30" s="2476"/>
      <c r="Y30" s="2476"/>
      <c r="Z30" s="2476"/>
      <c r="AA30" s="2476"/>
      <c r="AB30" s="2476"/>
      <c r="AC30" s="2476"/>
      <c r="AD30" s="2476"/>
      <c r="AE30" s="2476"/>
      <c r="AF30" s="263"/>
      <c r="AG30" s="2476" t="str">
        <f>IF(TITLE_IST_PUB_CHANGE="",IF(TITLE_IST_PUB="","",TITLE_IST_PUB),TITLE_IST_PUB_CHANGE)</f>
        <v/>
      </c>
      <c r="AH30" s="2476"/>
      <c r="AI30" s="2476"/>
      <c r="AJ30" s="2476"/>
      <c r="AK30" s="2476"/>
      <c r="AL30" s="2476"/>
      <c r="AM30" s="2476"/>
      <c r="AN30" s="2476"/>
      <c r="AO30" s="2476"/>
      <c r="AP30" s="2476"/>
      <c r="AQ30" s="263"/>
      <c r="AR30" s="263"/>
      <c r="AS30" s="217"/>
      <c r="AT30" s="305"/>
      <c r="AU30" s="305"/>
      <c r="AV30" s="305"/>
      <c r="AW30" s="305"/>
      <c r="AX30" s="305"/>
      <c r="AY30" s="355">
        <v>0</v>
      </c>
    </row>
    <row r="31" spans="1:51" ht="14.25" hidden="1" customHeight="1">
      <c r="Q31" s="313"/>
      <c r="R31" s="313"/>
      <c r="S31" s="1194"/>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74">
        <v>0</v>
      </c>
    </row>
    <row r="32" spans="1:51" s="2254" customFormat="1" ht="18.75" hidden="1" customHeight="1">
      <c r="A32" s="1287"/>
      <c r="B32" s="1287"/>
      <c r="C32" s="1287"/>
      <c r="D32" s="1287"/>
      <c r="E32" s="1287"/>
      <c r="F32" s="1287"/>
      <c r="G32" s="1287"/>
      <c r="H32" s="1287"/>
      <c r="I32" s="1287"/>
      <c r="J32" s="1287"/>
      <c r="K32" s="1287"/>
      <c r="L32" s="1288"/>
      <c r="M32" s="1287"/>
      <c r="N32" s="1287"/>
      <c r="O32" s="1287"/>
      <c r="S32" s="2475" t="s">
        <v>423</v>
      </c>
      <c r="T32" s="2475"/>
      <c r="U32" s="1291"/>
      <c r="V32" s="2485" t="str">
        <f>IF(TITLE_DATE_PR_CHANGE="",IF(TITLE_DATE_PR="","",TITLE_DATE_PR),TITLE_DATE_PR_CHANGE)</f>
        <v/>
      </c>
      <c r="W32" s="2485"/>
      <c r="X32" s="2485"/>
      <c r="Y32" s="2485"/>
      <c r="Z32" s="2485"/>
      <c r="AA32" s="2485"/>
      <c r="AB32" s="2485"/>
      <c r="AC32" s="2485"/>
      <c r="AD32" s="2485"/>
      <c r="AE32" s="2485"/>
      <c r="AF32" s="263"/>
      <c r="AG32" s="2485" t="str">
        <f>IF(TITLE_DATE_PR_CHANGE="",IF(TITLE_DATE_PR="","",TITLE_DATE_PR),TITLE_DATE_PR_CHANGE)</f>
        <v/>
      </c>
      <c r="AH32" s="2485"/>
      <c r="AI32" s="2485"/>
      <c r="AJ32" s="2485"/>
      <c r="AK32" s="2485"/>
      <c r="AL32" s="2485"/>
      <c r="AM32" s="2485"/>
      <c r="AN32" s="2485"/>
      <c r="AO32" s="2485"/>
      <c r="AP32" s="2485"/>
      <c r="AQ32" s="263"/>
      <c r="AR32" s="263"/>
      <c r="AS32" s="217"/>
      <c r="AT32" s="305"/>
      <c r="AU32" s="305"/>
      <c r="AV32" s="305"/>
      <c r="AW32" s="305"/>
      <c r="AX32" s="305"/>
      <c r="AY32" s="355">
        <v>0</v>
      </c>
    </row>
    <row r="33" spans="1:51" s="2254" customFormat="1" ht="18.75" hidden="1" customHeight="1">
      <c r="A33" s="1287"/>
      <c r="B33" s="1287"/>
      <c r="C33" s="1287"/>
      <c r="D33" s="1287"/>
      <c r="E33" s="1287"/>
      <c r="F33" s="1287"/>
      <c r="G33" s="1287"/>
      <c r="H33" s="1287"/>
      <c r="I33" s="1287"/>
      <c r="J33" s="1287"/>
      <c r="K33" s="1287"/>
      <c r="L33" s="1288"/>
      <c r="M33" s="1287"/>
      <c r="N33" s="1287"/>
      <c r="O33" s="1287"/>
      <c r="S33" s="2475" t="s">
        <v>424</v>
      </c>
      <c r="T33" s="2475"/>
      <c r="U33" s="1291"/>
      <c r="V33" s="2476" t="str">
        <f>IF(TITLE_NUMBER_PR_CHANGE="",IF(TITLE_NUMBER_PR="","",TITLE_NUMBER_PR),TITLE_NUMBER_PR_CHANGE)</f>
        <v/>
      </c>
      <c r="W33" s="2476"/>
      <c r="X33" s="2476"/>
      <c r="Y33" s="2476"/>
      <c r="Z33" s="2476"/>
      <c r="AA33" s="2476"/>
      <c r="AB33" s="2476"/>
      <c r="AC33" s="2476"/>
      <c r="AD33" s="2476"/>
      <c r="AE33" s="2476"/>
      <c r="AF33" s="263"/>
      <c r="AG33" s="2476" t="str">
        <f>IF(TITLE_NUMBER_PR_CHANGE="",IF(TITLE_NUMBER_PR="","",TITLE_NUMBER_PR),TITLE_NUMBER_PR_CHANGE)</f>
        <v/>
      </c>
      <c r="AH33" s="2476"/>
      <c r="AI33" s="2476"/>
      <c r="AJ33" s="2476"/>
      <c r="AK33" s="2476"/>
      <c r="AL33" s="2476"/>
      <c r="AM33" s="2476"/>
      <c r="AN33" s="2476"/>
      <c r="AO33" s="2476"/>
      <c r="AP33" s="2476"/>
      <c r="AQ33" s="263"/>
      <c r="AR33" s="263"/>
      <c r="AS33" s="217"/>
      <c r="AT33" s="305"/>
      <c r="AU33" s="305"/>
      <c r="AV33" s="305"/>
      <c r="AW33" s="305"/>
      <c r="AX33" s="305"/>
      <c r="AY33" s="355">
        <v>0</v>
      </c>
    </row>
    <row r="34" spans="1:51" s="2254"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1554"/>
      <c r="AC34" s="263"/>
      <c r="AD34" s="263"/>
      <c r="AE34" s="263"/>
      <c r="AF34" s="215" t="s">
        <v>425</v>
      </c>
      <c r="AG34" s="263"/>
      <c r="AH34" s="1554"/>
      <c r="AI34" s="1554"/>
      <c r="AJ34" s="1554"/>
      <c r="AK34" s="1554"/>
      <c r="AL34" s="1554"/>
      <c r="AM34" s="263"/>
      <c r="AN34" s="263"/>
      <c r="AO34" s="263"/>
      <c r="AP34" s="263"/>
      <c r="AQ34" s="215" t="s">
        <v>425</v>
      </c>
      <c r="AT34" s="305"/>
      <c r="AU34" s="305"/>
      <c r="AV34" s="305"/>
      <c r="AW34" s="305"/>
      <c r="AX34" s="305"/>
      <c r="AY34" s="355">
        <v>1</v>
      </c>
    </row>
    <row r="35" spans="1:51" ht="14.65" customHeight="1">
      <c r="Q35" s="313"/>
      <c r="R35" s="313"/>
      <c r="S35" s="1194"/>
      <c r="T35" s="300"/>
      <c r="U35" s="1163"/>
      <c r="V35" s="2477"/>
      <c r="W35" s="2477"/>
      <c r="X35" s="2477"/>
      <c r="Y35" s="2477"/>
      <c r="Z35" s="2477"/>
      <c r="AA35" s="2477"/>
      <c r="AB35" s="2477"/>
      <c r="AC35" s="2477"/>
      <c r="AD35" s="2477"/>
      <c r="AE35" s="2477"/>
      <c r="AF35" s="2477"/>
      <c r="AG35" s="2477"/>
      <c r="AH35" s="2477"/>
      <c r="AI35" s="2477"/>
      <c r="AJ35" s="2477"/>
      <c r="AK35" s="2477"/>
      <c r="AL35" s="2477"/>
      <c r="AM35" s="2477"/>
      <c r="AN35" s="2477"/>
      <c r="AO35" s="2477"/>
      <c r="AP35" s="2477"/>
      <c r="AQ35" s="2477"/>
      <c r="AY35" s="1074">
        <v>14</v>
      </c>
    </row>
    <row r="36" spans="1:51" ht="14.65" customHeight="1">
      <c r="Q36" s="313"/>
      <c r="R36" s="313"/>
      <c r="S36" s="2363" t="s">
        <v>298</v>
      </c>
      <c r="T36" s="2363"/>
      <c r="U36" s="2363"/>
      <c r="V36" s="2363"/>
      <c r="W36" s="2363"/>
      <c r="X36" s="2363"/>
      <c r="Y36" s="2363"/>
      <c r="Z36" s="2363"/>
      <c r="AA36" s="2363"/>
      <c r="AB36" s="2363"/>
      <c r="AC36" s="2363"/>
      <c r="AD36" s="2363"/>
      <c r="AE36" s="2363"/>
      <c r="AF36" s="2363"/>
      <c r="AG36" s="2363"/>
      <c r="AH36" s="2363"/>
      <c r="AI36" s="2363"/>
      <c r="AJ36" s="2363"/>
      <c r="AK36" s="2363"/>
      <c r="AL36" s="2363"/>
      <c r="AM36" s="2363"/>
      <c r="AN36" s="2363"/>
      <c r="AO36" s="2363"/>
      <c r="AP36" s="2363"/>
      <c r="AQ36" s="2363"/>
      <c r="AR36" s="2363"/>
      <c r="AS36" s="2363" t="s">
        <v>299</v>
      </c>
      <c r="AY36" s="1074">
        <v>14</v>
      </c>
    </row>
    <row r="37" spans="1:51" ht="14.65" customHeight="1">
      <c r="Q37" s="313"/>
      <c r="R37" s="313"/>
      <c r="S37" s="2491" t="s">
        <v>87</v>
      </c>
      <c r="T37" s="2442" t="s">
        <v>426</v>
      </c>
      <c r="U37" s="238"/>
      <c r="V37" s="2492" t="s">
        <v>427</v>
      </c>
      <c r="W37" s="2509"/>
      <c r="X37" s="2509"/>
      <c r="Y37" s="2509"/>
      <c r="Z37" s="2509"/>
      <c r="AA37" s="2509"/>
      <c r="AB37" s="2509"/>
      <c r="AC37" s="2493"/>
      <c r="AD37" s="2493"/>
      <c r="AE37" s="2494"/>
      <c r="AF37" s="2495" t="s">
        <v>428</v>
      </c>
      <c r="AG37" s="2492" t="s">
        <v>427</v>
      </c>
      <c r="AH37" s="2493"/>
      <c r="AI37" s="2493"/>
      <c r="AJ37" s="2493"/>
      <c r="AK37" s="2493"/>
      <c r="AL37" s="2493"/>
      <c r="AM37" s="2493"/>
      <c r="AN37" s="2493"/>
      <c r="AO37" s="2493"/>
      <c r="AP37" s="2494"/>
      <c r="AQ37" s="2495" t="s">
        <v>429</v>
      </c>
      <c r="AR37" s="2498" t="s">
        <v>430</v>
      </c>
      <c r="AS37" s="2363"/>
      <c r="AY37" s="1074">
        <v>14</v>
      </c>
    </row>
    <row r="38" spans="1:51" ht="19.899999999999999" customHeight="1">
      <c r="Q38" s="313"/>
      <c r="R38" s="313"/>
      <c r="S38" s="2491"/>
      <c r="T38" s="2442"/>
      <c r="U38" s="955"/>
      <c r="V38" s="2363" t="s">
        <v>530</v>
      </c>
      <c r="W38" s="2565" t="s">
        <v>531</v>
      </c>
      <c r="X38" s="2565"/>
      <c r="Y38" s="2565"/>
      <c r="Z38" s="2565" t="s">
        <v>532</v>
      </c>
      <c r="AA38" s="2565"/>
      <c r="AB38" s="2565"/>
      <c r="AC38" s="2428" t="s">
        <v>434</v>
      </c>
      <c r="AD38" s="2523"/>
      <c r="AE38" s="2429"/>
      <c r="AF38" s="2496"/>
      <c r="AG38" s="2363" t="s">
        <v>530</v>
      </c>
      <c r="AH38" s="2565" t="s">
        <v>531</v>
      </c>
      <c r="AI38" s="2565"/>
      <c r="AJ38" s="2565"/>
      <c r="AK38" s="2565" t="s">
        <v>532</v>
      </c>
      <c r="AL38" s="2565"/>
      <c r="AM38" s="2565"/>
      <c r="AN38" s="2428" t="s">
        <v>434</v>
      </c>
      <c r="AO38" s="2523"/>
      <c r="AP38" s="2429"/>
      <c r="AQ38" s="2496"/>
      <c r="AR38" s="2499"/>
      <c r="AS38" s="2363"/>
      <c r="AY38" s="1074">
        <v>19</v>
      </c>
    </row>
    <row r="39" spans="1:51" s="2238" customFormat="1" ht="19.899999999999999" customHeight="1">
      <c r="A39" s="1285"/>
      <c r="B39" s="1285"/>
      <c r="C39" s="1285"/>
      <c r="D39" s="1285"/>
      <c r="E39" s="1285"/>
      <c r="F39" s="1285"/>
      <c r="G39" s="1285"/>
      <c r="H39" s="1285"/>
      <c r="I39" s="1285"/>
      <c r="J39" s="1285"/>
      <c r="K39" s="1285"/>
      <c r="L39" s="1864"/>
      <c r="M39" s="1281"/>
      <c r="N39" s="1281"/>
      <c r="O39" s="1281"/>
      <c r="P39" s="1878"/>
      <c r="Q39" s="313"/>
      <c r="R39" s="313"/>
      <c r="S39" s="2491"/>
      <c r="T39" s="2442"/>
      <c r="U39" s="955"/>
      <c r="V39" s="2363"/>
      <c r="W39" s="2565" t="s">
        <v>533</v>
      </c>
      <c r="X39" s="2565" t="s">
        <v>534</v>
      </c>
      <c r="Y39" s="2565"/>
      <c r="Z39" s="2565" t="s">
        <v>535</v>
      </c>
      <c r="AA39" s="2565" t="s">
        <v>534</v>
      </c>
      <c r="AB39" s="2565"/>
      <c r="AC39" s="2433"/>
      <c r="AD39" s="2524"/>
      <c r="AE39" s="2434"/>
      <c r="AF39" s="2496"/>
      <c r="AG39" s="2363"/>
      <c r="AH39" s="2565" t="s">
        <v>533</v>
      </c>
      <c r="AI39" s="2565" t="s">
        <v>534</v>
      </c>
      <c r="AJ39" s="2565"/>
      <c r="AK39" s="2565" t="s">
        <v>535</v>
      </c>
      <c r="AL39" s="2565" t="s">
        <v>534</v>
      </c>
      <c r="AM39" s="2565"/>
      <c r="AN39" s="2433"/>
      <c r="AO39" s="2524"/>
      <c r="AP39" s="2434"/>
      <c r="AQ39" s="2496"/>
      <c r="AR39" s="2499"/>
      <c r="AS39" s="2363"/>
      <c r="AT39" s="1555"/>
      <c r="AU39" s="1555"/>
      <c r="AV39" s="1555"/>
      <c r="AW39" s="1555"/>
      <c r="AX39" s="1555"/>
      <c r="AY39" s="1550">
        <v>19</v>
      </c>
    </row>
    <row r="40" spans="1:51" ht="61.9" customHeight="1">
      <c r="A40" s="1289"/>
      <c r="B40" s="1289" t="s">
        <v>135</v>
      </c>
      <c r="C40" s="1289" t="s">
        <v>136</v>
      </c>
      <c r="D40" s="1289" t="s">
        <v>137</v>
      </c>
      <c r="E40" s="1283" t="s">
        <v>435</v>
      </c>
      <c r="F40" s="1283" t="s">
        <v>436</v>
      </c>
      <c r="G40" s="1283" t="s">
        <v>437</v>
      </c>
      <c r="H40" s="1283"/>
      <c r="I40" s="1283" t="s">
        <v>488</v>
      </c>
      <c r="J40" s="1283" t="s">
        <v>440</v>
      </c>
      <c r="K40" s="1283" t="s">
        <v>489</v>
      </c>
      <c r="L40" s="1283" t="s">
        <v>416</v>
      </c>
      <c r="Q40" s="313"/>
      <c r="R40" s="313"/>
      <c r="S40" s="2491"/>
      <c r="T40" s="2442"/>
      <c r="U40" s="239"/>
      <c r="V40" s="2363"/>
      <c r="W40" s="2565"/>
      <c r="X40" s="1896" t="s">
        <v>536</v>
      </c>
      <c r="Y40" s="1896" t="s">
        <v>537</v>
      </c>
      <c r="Z40" s="2565"/>
      <c r="AA40" s="1896" t="s">
        <v>538</v>
      </c>
      <c r="AB40" s="1896" t="s">
        <v>539</v>
      </c>
      <c r="AC40" s="1408" t="s">
        <v>444</v>
      </c>
      <c r="AD40" s="2451" t="s">
        <v>445</v>
      </c>
      <c r="AE40" s="2453"/>
      <c r="AF40" s="2497"/>
      <c r="AG40" s="2363"/>
      <c r="AH40" s="2565"/>
      <c r="AI40" s="1896" t="s">
        <v>536</v>
      </c>
      <c r="AJ40" s="1896" t="s">
        <v>537</v>
      </c>
      <c r="AK40" s="2565"/>
      <c r="AL40" s="1896" t="s">
        <v>538</v>
      </c>
      <c r="AM40" s="1896" t="s">
        <v>539</v>
      </c>
      <c r="AN40" s="1408" t="s">
        <v>444</v>
      </c>
      <c r="AO40" s="2451" t="s">
        <v>445</v>
      </c>
      <c r="AP40" s="2453"/>
      <c r="AQ40" s="2497"/>
      <c r="AR40" s="2500"/>
      <c r="AS40" s="2363"/>
      <c r="AY40" s="1074">
        <v>59</v>
      </c>
    </row>
    <row r="41" spans="1:51" s="2269"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108</v>
      </c>
      <c r="T41" s="1174" t="s">
        <v>109</v>
      </c>
      <c r="U41" s="1164" t="str">
        <f ca="1">OFFSET(U41,0,-1)</f>
        <v>2</v>
      </c>
      <c r="V41" s="1401">
        <f ca="1">OFFSET(V41,0,-1)+1</f>
        <v>3</v>
      </c>
      <c r="W41" s="1260"/>
      <c r="X41" s="1260"/>
      <c r="Y41" s="1260"/>
      <c r="Z41" s="1260"/>
      <c r="AA41" s="1260"/>
      <c r="AB41" s="1260"/>
      <c r="AC41" s="1401">
        <f ca="1">OFFSET(AC41,0,-1)+1</f>
        <v>1</v>
      </c>
      <c r="AD41" s="2490">
        <f ca="1">OFFSET(AD41,0,-1)+1</f>
        <v>2</v>
      </c>
      <c r="AE41" s="2490"/>
      <c r="AF41" s="1401">
        <f ca="1">OFFSET(AF41,0,-2)+1</f>
        <v>3</v>
      </c>
      <c r="AG41" s="1401">
        <f ca="1">OFFSET(AG41,0,-1)+1</f>
        <v>4</v>
      </c>
      <c r="AH41" s="1869"/>
      <c r="AI41" s="1869"/>
      <c r="AJ41" s="1869"/>
      <c r="AK41" s="1869"/>
      <c r="AL41" s="1869"/>
      <c r="AM41" s="1401">
        <f ca="1">OFFSET(AM41,0,-1)+1</f>
        <v>1</v>
      </c>
      <c r="AN41" s="1401">
        <f ca="1">OFFSET(AN41,0,-1)+1</f>
        <v>2</v>
      </c>
      <c r="AO41" s="2490">
        <f ca="1">OFFSET(AO41,0,-1)+1</f>
        <v>3</v>
      </c>
      <c r="AP41" s="2490"/>
      <c r="AQ41" s="1401">
        <f ca="1">OFFSET(AQ41,0,-2)+1</f>
        <v>4</v>
      </c>
      <c r="AR41" s="1164">
        <f ca="1">OFFSET(AR41,0,-1)</f>
        <v>4</v>
      </c>
      <c r="AS41" s="1401">
        <f ca="1">OFFSET(AS41,0,-1)+1</f>
        <v>5</v>
      </c>
      <c r="AT41" s="448"/>
      <c r="AU41" s="448"/>
      <c r="AV41" s="448"/>
      <c r="AW41" s="448"/>
      <c r="AX41" s="448"/>
      <c r="AY41" s="433">
        <v>0</v>
      </c>
    </row>
    <row r="42" spans="1:51" ht="24" customHeight="1">
      <c r="A42" s="1282" t="s">
        <v>249</v>
      </c>
      <c r="B42" s="1282"/>
      <c r="C42" s="1282"/>
      <c r="D42" s="1282"/>
      <c r="E42" s="2483">
        <v>1</v>
      </c>
      <c r="F42" s="1282"/>
      <c r="G42" s="1282"/>
      <c r="H42" s="1282"/>
      <c r="I42" s="1282"/>
      <c r="J42" s="1282"/>
      <c r="K42" s="1282"/>
      <c r="L42" s="1283"/>
      <c r="M42" s="1284"/>
      <c r="N42" s="1284"/>
      <c r="O42" s="1284"/>
      <c r="P42" s="298"/>
      <c r="Q42" s="297"/>
      <c r="R42" s="292"/>
      <c r="S42" s="1412">
        <f>INDEX(PT_DIFFERENTIATION_NUM_NTAR,MATCH(A42,PT_DIFFERENTIATION_NTAR_ID,0))</f>
        <v>0</v>
      </c>
      <c r="T42" s="235" t="s">
        <v>123</v>
      </c>
      <c r="U42" s="237"/>
      <c r="V42" s="2469"/>
      <c r="W42" s="2470"/>
      <c r="X42" s="2470"/>
      <c r="Y42" s="2470"/>
      <c r="Z42" s="2470"/>
      <c r="AA42" s="2470"/>
      <c r="AB42" s="2470"/>
      <c r="AC42" s="2470"/>
      <c r="AD42" s="2470"/>
      <c r="AE42" s="2470"/>
      <c r="AF42" s="2471"/>
      <c r="AG42" s="2469" t="str">
        <f>INDEX(PT_DIFFERENTIATION_NTAR,MATCH(A42,PT_DIFFERENTIATION_NTAR_ID,0))</f>
        <v/>
      </c>
      <c r="AH42" s="2470"/>
      <c r="AI42" s="2470"/>
      <c r="AJ42" s="2470"/>
      <c r="AK42" s="2470"/>
      <c r="AL42" s="2470"/>
      <c r="AM42" s="2470"/>
      <c r="AN42" s="2470"/>
      <c r="AO42" s="2470"/>
      <c r="AP42" s="2470"/>
      <c r="AQ42" s="2470"/>
      <c r="AR42" s="2471"/>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74">
        <v>23</v>
      </c>
    </row>
    <row r="43" spans="1:51" ht="24" customHeight="1">
      <c r="A43" s="1282" t="s">
        <v>249</v>
      </c>
      <c r="B43" s="1282" t="s">
        <v>250</v>
      </c>
      <c r="C43" s="1282"/>
      <c r="D43" s="1282"/>
      <c r="E43" s="2484"/>
      <c r="F43" s="2483">
        <v>1</v>
      </c>
      <c r="G43" s="1282"/>
      <c r="H43" s="1282"/>
      <c r="I43" s="1282"/>
      <c r="J43" s="1282"/>
      <c r="K43" s="1282"/>
      <c r="L43" s="1283"/>
      <c r="M43" s="1284"/>
      <c r="N43" s="1284"/>
      <c r="O43" s="1284"/>
      <c r="P43" s="1406"/>
      <c r="Q43" s="289"/>
      <c r="R43" s="290"/>
      <c r="S43" s="1412" t="str">
        <f>INDEX(PT_DIFFERENTIATION_NUM_TER,MATCH(B43,PT_DIFFERENTIATION_TER_ID,0))</f>
        <v>.</v>
      </c>
      <c r="T43" s="245" t="s">
        <v>395</v>
      </c>
      <c r="U43" s="237"/>
      <c r="V43" s="2469"/>
      <c r="W43" s="2470"/>
      <c r="X43" s="2470"/>
      <c r="Y43" s="2470"/>
      <c r="Z43" s="2470"/>
      <c r="AA43" s="2470"/>
      <c r="AB43" s="2470"/>
      <c r="AC43" s="2470"/>
      <c r="AD43" s="2470"/>
      <c r="AE43" s="2470"/>
      <c r="AF43" s="2471"/>
      <c r="AG43" s="2469" t="str">
        <f>INDEX(PT_DIFFERENTIATION_TER,MATCH(B43,PT_DIFFERENTIATION_TER_ID,0))</f>
        <v/>
      </c>
      <c r="AH43" s="2470"/>
      <c r="AI43" s="2470"/>
      <c r="AJ43" s="2470"/>
      <c r="AK43" s="2470"/>
      <c r="AL43" s="2470"/>
      <c r="AM43" s="2470"/>
      <c r="AN43" s="2470"/>
      <c r="AO43" s="2470"/>
      <c r="AP43" s="2470"/>
      <c r="AQ43" s="2470"/>
      <c r="AR43" s="2471"/>
      <c r="AS43" s="1177" t="s">
        <v>396</v>
      </c>
      <c r="AU43" s="437"/>
      <c r="AV43" s="437" t="str">
        <f t="shared" si="1"/>
        <v>Территория действия тарифа</v>
      </c>
      <c r="AW43" s="437"/>
      <c r="AX43" s="437"/>
      <c r="AY43" s="1074">
        <v>23</v>
      </c>
    </row>
    <row r="44" spans="1:51" ht="24" customHeight="1">
      <c r="A44" s="1282" t="s">
        <v>249</v>
      </c>
      <c r="B44" s="1282" t="s">
        <v>250</v>
      </c>
      <c r="C44" s="1282" t="s">
        <v>251</v>
      </c>
      <c r="D44" s="1282"/>
      <c r="E44" s="2484"/>
      <c r="F44" s="2484"/>
      <c r="G44" s="2483">
        <v>1</v>
      </c>
      <c r="H44" s="1282"/>
      <c r="I44" s="1282"/>
      <c r="J44" s="1282"/>
      <c r="K44" s="1282"/>
      <c r="L44" s="1283"/>
      <c r="M44" s="1284"/>
      <c r="N44" s="1284"/>
      <c r="O44" s="1284"/>
      <c r="P44" s="291"/>
      <c r="Q44" s="289"/>
      <c r="R44" s="290"/>
      <c r="S44" s="1412" t="str">
        <f>INDEX(PT_DIFFERENTIATION_NUM_CS,MATCH(C44,PT_DIFFERENTIATION_CS_ID,0))</f>
        <v>..</v>
      </c>
      <c r="T44" s="246" t="s">
        <v>528</v>
      </c>
      <c r="U44" s="237"/>
      <c r="V44" s="2469"/>
      <c r="W44" s="2470"/>
      <c r="X44" s="2470"/>
      <c r="Y44" s="2470"/>
      <c r="Z44" s="2470"/>
      <c r="AA44" s="2470"/>
      <c r="AB44" s="2470"/>
      <c r="AC44" s="2470"/>
      <c r="AD44" s="2470"/>
      <c r="AE44" s="2470"/>
      <c r="AF44" s="2471"/>
      <c r="AG44" s="2469" t="str">
        <f>INDEX(PT_DIFFERENTIATION_CS,MATCH(C44,PT_DIFFERENTIATION_CS_ID,0))</f>
        <v/>
      </c>
      <c r="AH44" s="2470"/>
      <c r="AI44" s="2470"/>
      <c r="AJ44" s="2470"/>
      <c r="AK44" s="2470"/>
      <c r="AL44" s="2470"/>
      <c r="AM44" s="2470"/>
      <c r="AN44" s="2470"/>
      <c r="AO44" s="2470"/>
      <c r="AP44" s="2470"/>
      <c r="AQ44" s="2470"/>
      <c r="AR44" s="2471"/>
      <c r="AS44" s="1177" t="s">
        <v>529</v>
      </c>
      <c r="AU44" s="437"/>
      <c r="AV44" s="437" t="str">
        <f t="shared" si="1"/>
        <v>Наименование централизованной системы горячего водоснабжения</v>
      </c>
      <c r="AW44" s="437"/>
      <c r="AX44" s="437"/>
      <c r="AY44" s="1074">
        <v>23</v>
      </c>
    </row>
    <row r="45" spans="1:51" ht="24" customHeight="1">
      <c r="A45" s="1282" t="s">
        <v>249</v>
      </c>
      <c r="B45" s="1282" t="s">
        <v>250</v>
      </c>
      <c r="C45" s="1282" t="s">
        <v>251</v>
      </c>
      <c r="D45" s="1282" t="s">
        <v>540</v>
      </c>
      <c r="E45" s="2484"/>
      <c r="F45" s="2484"/>
      <c r="G45" s="2484"/>
      <c r="H45" s="2484"/>
      <c r="I45" s="2481" t="str">
        <f>S44&amp;".1"</f>
        <v>...1</v>
      </c>
      <c r="J45" s="1282"/>
      <c r="K45" s="1282"/>
      <c r="L45" s="1283"/>
      <c r="P45" s="2482">
        <v>1</v>
      </c>
      <c r="Q45" s="1400"/>
      <c r="R45" s="293"/>
      <c r="S45" s="1412" t="str">
        <f>$I45</f>
        <v>...1</v>
      </c>
      <c r="T45" s="222" t="s">
        <v>481</v>
      </c>
      <c r="U45" s="237"/>
      <c r="V45" s="2550"/>
      <c r="W45" s="2551"/>
      <c r="X45" s="2551"/>
      <c r="Y45" s="2551"/>
      <c r="Z45" s="2551"/>
      <c r="AA45" s="2551"/>
      <c r="AB45" s="2551"/>
      <c r="AC45" s="2551"/>
      <c r="AD45" s="2551"/>
      <c r="AE45" s="2551"/>
      <c r="AF45" s="2552"/>
      <c r="AG45" s="2553"/>
      <c r="AH45" s="2554"/>
      <c r="AI45" s="2554"/>
      <c r="AJ45" s="2554"/>
      <c r="AK45" s="2554"/>
      <c r="AL45" s="2554"/>
      <c r="AM45" s="2554"/>
      <c r="AN45" s="2554"/>
      <c r="AO45" s="2554"/>
      <c r="AP45" s="2554"/>
      <c r="AQ45" s="2554"/>
      <c r="AR45" s="2555"/>
      <c r="AS45" s="1177" t="s">
        <v>482</v>
      </c>
      <c r="AU45" s="437"/>
      <c r="AV45" s="437" t="str">
        <f t="shared" si="1"/>
        <v>Наименование признака дифференциации</v>
      </c>
      <c r="AW45" s="437"/>
      <c r="AX45" s="437"/>
      <c r="AY45" s="1074">
        <v>23</v>
      </c>
    </row>
    <row r="46" spans="1:51" ht="24" customHeight="1">
      <c r="A46" s="1282" t="s">
        <v>249</v>
      </c>
      <c r="B46" s="1282" t="s">
        <v>250</v>
      </c>
      <c r="C46" s="1282" t="s">
        <v>251</v>
      </c>
      <c r="D46" s="1282" t="s">
        <v>540</v>
      </c>
      <c r="E46" s="2484"/>
      <c r="F46" s="2484"/>
      <c r="G46" s="2484"/>
      <c r="H46" s="2484"/>
      <c r="I46" s="2504"/>
      <c r="J46" s="2481" t="str">
        <f>I45&amp;".1"</f>
        <v>...1.1</v>
      </c>
      <c r="K46" s="1282"/>
      <c r="L46" s="1283" t="s">
        <v>404</v>
      </c>
      <c r="P46" s="2482"/>
      <c r="Q46" s="2482">
        <v>1</v>
      </c>
      <c r="R46" s="294"/>
      <c r="S46" s="1412" t="str">
        <f>$J46</f>
        <v>...1.1</v>
      </c>
      <c r="T46" s="223" t="s">
        <v>405</v>
      </c>
      <c r="U46" s="237"/>
      <c r="V46" s="2472"/>
      <c r="W46" s="2473"/>
      <c r="X46" s="2473"/>
      <c r="Y46" s="2473"/>
      <c r="Z46" s="2473"/>
      <c r="AA46" s="2473"/>
      <c r="AB46" s="2473"/>
      <c r="AC46" s="2473"/>
      <c r="AD46" s="2473"/>
      <c r="AE46" s="2473"/>
      <c r="AF46" s="2474"/>
      <c r="AG46" s="2472"/>
      <c r="AH46" s="2473"/>
      <c r="AI46" s="2473"/>
      <c r="AJ46" s="2473"/>
      <c r="AK46" s="2473"/>
      <c r="AL46" s="2473"/>
      <c r="AM46" s="2473"/>
      <c r="AN46" s="2473"/>
      <c r="AO46" s="2473"/>
      <c r="AP46" s="2473"/>
      <c r="AQ46" s="2473"/>
      <c r="AR46" s="2474"/>
      <c r="AS46" s="1226" t="s">
        <v>483</v>
      </c>
      <c r="AU46" s="437"/>
      <c r="AV46" s="437" t="str">
        <f t="shared" si="1"/>
        <v>Группа потребителей</v>
      </c>
      <c r="AW46" s="437"/>
      <c r="AX46" s="437"/>
      <c r="AY46" s="1074">
        <v>23</v>
      </c>
    </row>
    <row r="47" spans="1:51" ht="24" customHeight="1">
      <c r="A47" s="1282" t="s">
        <v>249</v>
      </c>
      <c r="B47" s="1282" t="s">
        <v>250</v>
      </c>
      <c r="C47" s="1282" t="s">
        <v>251</v>
      </c>
      <c r="D47" s="1282" t="s">
        <v>540</v>
      </c>
      <c r="E47" s="2484"/>
      <c r="F47" s="2484"/>
      <c r="G47" s="2484"/>
      <c r="H47" s="2484"/>
      <c r="I47" s="2504"/>
      <c r="J47" s="2504"/>
      <c r="K47" s="2481" t="str">
        <f>J46&amp;".1"</f>
        <v>...1.1.1</v>
      </c>
      <c r="L47" s="1283"/>
      <c r="P47" s="2482"/>
      <c r="Q47" s="2482"/>
      <c r="R47" s="294">
        <v>1</v>
      </c>
      <c r="S47" s="1412" t="str">
        <f>$K47</f>
        <v>...1.1.1</v>
      </c>
      <c r="T47" s="1356"/>
      <c r="U47" s="237"/>
      <c r="V47" s="688"/>
      <c r="W47" s="688"/>
      <c r="X47" s="688"/>
      <c r="Y47" s="688"/>
      <c r="Z47" s="688"/>
      <c r="AA47" s="688"/>
      <c r="AB47" s="688"/>
      <c r="AC47" s="2488"/>
      <c r="AD47" s="2489" t="s">
        <v>64</v>
      </c>
      <c r="AE47" s="2488"/>
      <c r="AF47" s="2489" t="s">
        <v>64</v>
      </c>
      <c r="AG47" s="688"/>
      <c r="AH47" s="688"/>
      <c r="AI47" s="688"/>
      <c r="AJ47" s="688"/>
      <c r="AK47" s="688"/>
      <c r="AL47" s="688"/>
      <c r="AM47" s="688"/>
      <c r="AN47" s="2486"/>
      <c r="AO47" s="2344" t="s">
        <v>64</v>
      </c>
      <c r="AP47" s="2505"/>
      <c r="AQ47" s="2344" t="s">
        <v>19</v>
      </c>
      <c r="AR47" s="1357"/>
      <c r="AS47" s="25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74">
        <v>23</v>
      </c>
    </row>
    <row r="48" spans="1:51" ht="0" hidden="1" customHeight="1">
      <c r="A48" s="1282" t="s">
        <v>249</v>
      </c>
      <c r="B48" s="1282" t="s">
        <v>250</v>
      </c>
      <c r="C48" s="1282" t="s">
        <v>251</v>
      </c>
      <c r="D48" s="1282" t="s">
        <v>540</v>
      </c>
      <c r="E48" s="2484"/>
      <c r="F48" s="2484"/>
      <c r="G48" s="2484"/>
      <c r="H48" s="2484"/>
      <c r="I48" s="2504"/>
      <c r="J48" s="2504"/>
      <c r="K48" s="2481"/>
      <c r="L48" s="1283"/>
      <c r="P48" s="2482"/>
      <c r="Q48" s="2482"/>
      <c r="R48" s="294"/>
      <c r="S48" s="1409"/>
      <c r="T48" s="237"/>
      <c r="U48" s="237"/>
      <c r="V48" s="1279"/>
      <c r="W48" s="1279"/>
      <c r="X48" s="1279"/>
      <c r="Y48" s="1279"/>
      <c r="Z48" s="1279"/>
      <c r="AA48" s="1279"/>
      <c r="AB48" s="1279"/>
      <c r="AC48" s="2489"/>
      <c r="AD48" s="2489"/>
      <c r="AE48" s="2489"/>
      <c r="AF48" s="2489"/>
      <c r="AG48" s="262"/>
      <c r="AH48" s="262"/>
      <c r="AI48" s="262"/>
      <c r="AJ48" s="262"/>
      <c r="AK48" s="262"/>
      <c r="AL48" s="262"/>
      <c r="AM48" s="262"/>
      <c r="AN48" s="2487"/>
      <c r="AO48" s="2344"/>
      <c r="AP48" s="2506"/>
      <c r="AQ48" s="2344"/>
      <c r="AR48" s="1358"/>
      <c r="AS48" s="2549"/>
      <c r="AU48" s="437"/>
      <c r="AV48" s="437" t="str">
        <f t="shared" si="1"/>
        <v/>
      </c>
      <c r="AW48" s="437"/>
      <c r="AX48" s="437"/>
      <c r="AY48" s="1074">
        <v>0</v>
      </c>
    </row>
    <row r="49" spans="1:51" ht="21" customHeight="1">
      <c r="A49" s="1282" t="s">
        <v>249</v>
      </c>
      <c r="B49" s="1282" t="s">
        <v>250</v>
      </c>
      <c r="C49" s="1282" t="s">
        <v>251</v>
      </c>
      <c r="D49" s="1282" t="s">
        <v>540</v>
      </c>
      <c r="E49" s="2484"/>
      <c r="F49" s="2484"/>
      <c r="G49" s="2484"/>
      <c r="H49" s="2484"/>
      <c r="I49" s="2504"/>
      <c r="J49" s="2481"/>
      <c r="K49" s="1282"/>
      <c r="L49" s="1283"/>
      <c r="P49" s="2482"/>
      <c r="Q49" s="2482"/>
      <c r="R49" s="293"/>
      <c r="S49" s="1197"/>
      <c r="T49" s="224" t="s">
        <v>484</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77" t="s">
        <v>485</v>
      </c>
      <c r="AU49" s="437"/>
      <c r="AV49" s="437" t="str">
        <f t="shared" si="1"/>
        <v>Добавить значение признака дифференциации</v>
      </c>
      <c r="AW49" s="437"/>
      <c r="AX49" s="437"/>
      <c r="AY49" s="1074">
        <v>20</v>
      </c>
    </row>
    <row r="50" spans="1:51" ht="21.95" customHeight="1">
      <c r="A50" s="1282" t="s">
        <v>249</v>
      </c>
      <c r="B50" s="1282" t="s">
        <v>250</v>
      </c>
      <c r="C50" s="1282" t="s">
        <v>251</v>
      </c>
      <c r="D50" s="1282" t="s">
        <v>540</v>
      </c>
      <c r="E50" s="2484"/>
      <c r="F50" s="2484"/>
      <c r="G50" s="2484"/>
      <c r="H50" s="2484"/>
      <c r="I50" s="2481"/>
      <c r="J50" s="1282"/>
      <c r="K50" s="1282"/>
      <c r="L50" s="1283"/>
      <c r="P50" s="2482"/>
      <c r="Q50" s="1400"/>
      <c r="R50" s="293"/>
      <c r="S50" s="1197"/>
      <c r="T50" s="302" t="s">
        <v>410</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59"/>
      <c r="AU50" s="437"/>
      <c r="AV50" s="437" t="str">
        <f t="shared" si="1"/>
        <v>Добавить группу потребителей</v>
      </c>
      <c r="AW50" s="437"/>
      <c r="AX50" s="437"/>
      <c r="AY50" s="1074">
        <v>21</v>
      </c>
    </row>
    <row r="51" spans="1:51" ht="21.95" customHeight="1">
      <c r="A51" s="1282" t="s">
        <v>249</v>
      </c>
      <c r="B51" s="1282" t="s">
        <v>250</v>
      </c>
      <c r="C51" s="1282" t="s">
        <v>251</v>
      </c>
      <c r="D51" s="1282" t="s">
        <v>540</v>
      </c>
      <c r="E51" s="2484"/>
      <c r="F51" s="2484"/>
      <c r="G51" s="2484"/>
      <c r="H51" s="2483"/>
      <c r="I51" s="1282"/>
      <c r="J51" s="1282"/>
      <c r="K51" s="1282"/>
      <c r="L51" s="1283"/>
      <c r="M51" s="1284"/>
      <c r="N51" s="1284"/>
      <c r="O51" s="474"/>
      <c r="P51" s="297"/>
      <c r="Q51" s="312"/>
      <c r="R51" s="292"/>
      <c r="S51" s="1197"/>
      <c r="T51" s="309" t="s">
        <v>486</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74">
        <v>21</v>
      </c>
    </row>
    <row r="52" spans="1:51" s="2245" customFormat="1" ht="0" hidden="1" customHeight="1">
      <c r="A52" s="1262" t="s">
        <v>249</v>
      </c>
      <c r="B52" s="1262" t="s">
        <v>250</v>
      </c>
      <c r="C52" s="1233"/>
      <c r="D52" s="1233"/>
      <c r="E52" s="2484"/>
      <c r="F52" s="2483"/>
      <c r="G52" s="1233"/>
      <c r="H52" s="1233"/>
      <c r="I52" s="1233"/>
      <c r="J52" s="1233"/>
      <c r="K52" s="1233"/>
      <c r="L52" s="1413"/>
      <c r="M52" s="1240"/>
      <c r="N52" s="1240"/>
      <c r="P52" s="1235"/>
      <c r="Q52" s="1236"/>
      <c r="R52" s="1235"/>
      <c r="S52" s="1241"/>
      <c r="T52" s="1244" t="s">
        <v>413</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20"/>
      <c r="AV52" s="720" t="str">
        <f t="shared" si="1"/>
        <v>Добавить централизованную систему для дифференциации</v>
      </c>
      <c r="AW52" s="720"/>
      <c r="AX52" s="720"/>
      <c r="AY52" s="455">
        <v>0</v>
      </c>
    </row>
    <row r="53" spans="1:51" s="2245" customFormat="1" ht="0" hidden="1" customHeight="1">
      <c r="A53" s="1262" t="s">
        <v>249</v>
      </c>
      <c r="B53" s="1262"/>
      <c r="C53" s="1262"/>
      <c r="D53" s="1262"/>
      <c r="E53" s="2483"/>
      <c r="F53" s="1262"/>
      <c r="G53" s="1262"/>
      <c r="H53" s="1262"/>
      <c r="I53" s="1262"/>
      <c r="J53" s="1262"/>
      <c r="K53" s="1262"/>
      <c r="L53" s="1265"/>
      <c r="M53" s="1240"/>
      <c r="N53" s="1240"/>
      <c r="O53" s="455"/>
      <c r="P53" s="317"/>
      <c r="Q53" s="1263"/>
      <c r="R53" s="317"/>
      <c r="S53" s="1241"/>
      <c r="T53" s="1244" t="s">
        <v>414</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7"/>
      <c r="AV53" s="437" t="str">
        <f t="shared" si="1"/>
        <v>Добавить территорию для дифференциации</v>
      </c>
      <c r="AW53" s="437"/>
      <c r="AX53" s="437"/>
      <c r="AY53" s="448">
        <v>0</v>
      </c>
    </row>
    <row r="54" spans="1:51" s="2245"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446</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20"/>
      <c r="AV54" s="720" t="str">
        <f t="shared" si="1"/>
        <v>Добавить наименование тарифа</v>
      </c>
      <c r="AW54" s="720"/>
      <c r="AX54" s="720"/>
      <c r="AY54" s="455">
        <v>0</v>
      </c>
    </row>
    <row r="55" spans="1:51" ht="11.45" customHeight="1">
      <c r="M55" s="1079"/>
      <c r="N55" s="1079"/>
      <c r="O55" s="474"/>
      <c r="P55" s="1074"/>
      <c r="Q55" s="1074"/>
      <c r="R55" s="1074"/>
      <c r="S55" s="1074"/>
      <c r="AT55" s="1074"/>
      <c r="AU55" s="1074"/>
      <c r="AV55" s="1074"/>
      <c r="AW55" s="1074"/>
      <c r="AX55" s="1074"/>
      <c r="AY55" s="1074">
        <v>11</v>
      </c>
    </row>
    <row r="56" spans="1:51" ht="14.65" customHeight="1">
      <c r="O56" s="474"/>
      <c r="S56" s="1172"/>
      <c r="T56" s="2503"/>
      <c r="U56" s="2503"/>
      <c r="V56" s="2503"/>
      <c r="W56" s="2503"/>
      <c r="X56" s="2503"/>
      <c r="Y56" s="2503"/>
      <c r="Z56" s="2503"/>
      <c r="AA56" s="2503"/>
      <c r="AB56" s="2503"/>
      <c r="AC56" s="2503"/>
      <c r="AD56" s="2503"/>
      <c r="AE56" s="2503"/>
      <c r="AF56" s="2503"/>
      <c r="AG56" s="2503"/>
      <c r="AH56" s="2503"/>
      <c r="AI56" s="2503"/>
      <c r="AJ56" s="2503"/>
      <c r="AK56" s="2503"/>
      <c r="AL56" s="2503"/>
      <c r="AM56" s="2503"/>
      <c r="AN56" s="2503"/>
      <c r="AO56" s="2503"/>
      <c r="AP56" s="2503"/>
      <c r="AQ56" s="2503"/>
      <c r="AR56" s="2503"/>
      <c r="AS56" s="2503"/>
      <c r="AY56" s="1074">
        <v>14</v>
      </c>
    </row>
    <row r="57" spans="1:51" ht="14.65" customHeight="1">
      <c r="O57" s="474"/>
      <c r="AY57" s="1074">
        <v>14</v>
      </c>
    </row>
    <row r="58" spans="1:51" ht="14.65" customHeight="1">
      <c r="O58" s="474"/>
      <c r="S58" s="1172"/>
      <c r="T58" s="2503"/>
      <c r="U58" s="2503"/>
      <c r="V58" s="2503"/>
      <c r="W58" s="2503"/>
      <c r="X58" s="2503"/>
      <c r="Y58" s="2503"/>
      <c r="Z58" s="2503"/>
      <c r="AA58" s="2503"/>
      <c r="AB58" s="2503"/>
      <c r="AC58" s="2503"/>
      <c r="AD58" s="2503"/>
      <c r="AE58" s="2503"/>
      <c r="AF58" s="2503"/>
      <c r="AG58" s="2503"/>
      <c r="AH58" s="2503"/>
      <c r="AI58" s="2503"/>
      <c r="AJ58" s="2503"/>
      <c r="AK58" s="2503"/>
      <c r="AL58" s="2503"/>
      <c r="AM58" s="2503"/>
      <c r="AN58" s="2503"/>
      <c r="AO58" s="2503"/>
      <c r="AP58" s="2503"/>
      <c r="AQ58" s="2503"/>
      <c r="AR58" s="2503"/>
      <c r="AS58" s="2503"/>
      <c r="AY58" s="1074">
        <v>14</v>
      </c>
    </row>
    <row r="59" spans="1:51" ht="22.5" hidden="1" customHeight="1">
      <c r="A59" s="1079" t="s">
        <v>81</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8">
        <v>12</v>
      </c>
      <c r="T59" s="1074">
        <v>35</v>
      </c>
      <c r="U59" s="1074">
        <v>0</v>
      </c>
      <c r="V59" s="1074">
        <v>0</v>
      </c>
      <c r="W59" s="1550">
        <v>0</v>
      </c>
      <c r="X59" s="1550">
        <v>0</v>
      </c>
      <c r="Y59" s="1550">
        <v>0</v>
      </c>
      <c r="Z59" s="1550">
        <v>0</v>
      </c>
      <c r="AA59" s="1550">
        <v>0</v>
      </c>
      <c r="AB59" s="1550">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8">
        <v>10</v>
      </c>
      <c r="AU59" s="448">
        <v>10</v>
      </c>
      <c r="AV59" s="448">
        <v>10</v>
      </c>
      <c r="AW59" s="448">
        <v>10</v>
      </c>
      <c r="AX59" s="448">
        <v>10</v>
      </c>
      <c r="AY59" s="1074">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244" hidden="1"/>
    <col min="2" max="2" width="11" style="2244" hidden="1" customWidth="1"/>
    <col min="3" max="3" width="10.5703125" style="2244" hidden="1"/>
    <col min="4" max="4" width="11.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4.140625" style="2244" hidden="1" customWidth="1"/>
    <col min="10" max="10" width="9.85546875" style="2244" hidden="1" customWidth="1"/>
    <col min="11" max="11" width="14.7109375" style="2244" hidden="1" customWidth="1"/>
    <col min="12" max="12" width="19.140625" style="2270" hidden="1" customWidth="1"/>
    <col min="13" max="14" width="12.28515625" style="2271" hidden="1" customWidth="1"/>
    <col min="15" max="15" width="23.42578125" style="2271" hidden="1" customWidth="1"/>
    <col min="16" max="16" width="3" style="2272" customWidth="1"/>
    <col min="17" max="18" width="3" style="2273" customWidth="1"/>
    <col min="19" max="19" width="12" style="2274" customWidth="1"/>
    <col min="20" max="20" width="35" style="2238" customWidth="1"/>
    <col min="21" max="21" width="0.140625" style="2238" customWidth="1"/>
    <col min="22" max="28" width="19.7109375" style="2238" hidden="1" customWidth="1"/>
    <col min="29" max="29" width="11.7109375" style="2238" hidden="1" customWidth="1"/>
    <col min="30" max="30" width="3.7109375" style="2238" hidden="1" customWidth="1"/>
    <col min="31" max="31" width="11.7109375" style="2238" hidden="1" customWidth="1"/>
    <col min="32" max="32" width="8.5703125" style="2238" hidden="1" customWidth="1"/>
    <col min="33" max="33" width="19.7109375" style="2238" customWidth="1"/>
    <col min="34" max="39" width="19" style="2238" customWidth="1"/>
    <col min="40" max="40" width="11" style="2238" customWidth="1"/>
    <col min="41" max="41" width="3.7109375" style="2238" customWidth="1"/>
    <col min="42" max="42" width="11" style="2238" customWidth="1"/>
    <col min="43" max="43" width="8.5703125" style="2238" hidden="1" customWidth="1"/>
    <col min="44" max="44" width="4" style="2238" customWidth="1"/>
    <col min="45" max="45" width="115" style="2238" customWidth="1"/>
    <col min="46" max="50" width="10" style="2245" customWidth="1"/>
    <col min="51" max="51" width="10.5703125" style="2238" hidden="1"/>
  </cols>
  <sheetData>
    <row r="1" spans="1:51" ht="22.5" hidden="1" customHeight="1">
      <c r="AB1" s="264"/>
      <c r="AC1" s="264"/>
      <c r="AM1" s="264"/>
      <c r="AN1" s="264"/>
      <c r="AY1" s="1074" t="s">
        <v>14</v>
      </c>
    </row>
    <row r="2" spans="1:51" ht="23.25" hidden="1" customHeight="1">
      <c r="A2" s="1282"/>
      <c r="B2" s="1282"/>
      <c r="C2" s="1282"/>
      <c r="D2" s="1282"/>
      <c r="E2" s="2483">
        <v>1</v>
      </c>
      <c r="F2" s="1282"/>
      <c r="G2" s="1282"/>
      <c r="H2" s="1282"/>
      <c r="I2" s="1282"/>
      <c r="J2" s="1282"/>
      <c r="K2" s="1282"/>
      <c r="L2" s="1283"/>
      <c r="M2" s="1284"/>
      <c r="N2" s="1284"/>
      <c r="O2" s="1284"/>
      <c r="P2" s="298"/>
      <c r="Q2" s="297"/>
      <c r="R2" s="292"/>
      <c r="S2" s="1412" t="e">
        <f>INDEX(PT_DIFFERENTIATION_NUM_NTAR,MATCH(A2,PT_DIFFERENTIATION_NTAR_ID,0))</f>
        <v>#N/A</v>
      </c>
      <c r="T2" s="235" t="s">
        <v>123</v>
      </c>
      <c r="U2" s="237"/>
      <c r="V2" s="2469"/>
      <c r="W2" s="2470"/>
      <c r="X2" s="2470"/>
      <c r="Y2" s="2470"/>
      <c r="Z2" s="2470"/>
      <c r="AA2" s="2470"/>
      <c r="AB2" s="2470"/>
      <c r="AC2" s="2470"/>
      <c r="AD2" s="2470"/>
      <c r="AE2" s="2470"/>
      <c r="AF2" s="2471"/>
      <c r="AG2" s="2469" t="e">
        <f>INDEX(PT_DIFFERENTIATION_NTAR,MATCH(A2,PT_DIFFERENTIATION_NTAR_ID,0))</f>
        <v>#N/A</v>
      </c>
      <c r="AH2" s="2470"/>
      <c r="AI2" s="2470"/>
      <c r="AJ2" s="2470"/>
      <c r="AK2" s="2470"/>
      <c r="AL2" s="2470"/>
      <c r="AM2" s="2470"/>
      <c r="AN2" s="2470"/>
      <c r="AO2" s="2470"/>
      <c r="AP2" s="2470"/>
      <c r="AQ2" s="2470"/>
      <c r="AR2" s="2471"/>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74">
        <v>0</v>
      </c>
    </row>
    <row r="3" spans="1:51" ht="23.25" hidden="1" customHeight="1">
      <c r="A3" s="1282"/>
      <c r="B3" s="1282"/>
      <c r="C3" s="1282"/>
      <c r="D3" s="1282"/>
      <c r="E3" s="2484"/>
      <c r="F3" s="2483">
        <v>1</v>
      </c>
      <c r="G3" s="1282"/>
      <c r="H3" s="1282"/>
      <c r="I3" s="1282"/>
      <c r="J3" s="1282"/>
      <c r="K3" s="1282"/>
      <c r="L3" s="1283"/>
      <c r="M3" s="1284"/>
      <c r="N3" s="1284"/>
      <c r="O3" s="1284"/>
      <c r="P3" s="1406"/>
      <c r="Q3" s="289"/>
      <c r="R3" s="290"/>
      <c r="S3" s="1412" t="e">
        <f>INDEX(PT_DIFFERENTIATION_NUM_TER,MATCH(B3,PT_DIFFERENTIATION_TER_ID,0))</f>
        <v>#N/A</v>
      </c>
      <c r="T3" s="245" t="s">
        <v>395</v>
      </c>
      <c r="U3" s="237"/>
      <c r="V3" s="2469"/>
      <c r="W3" s="2470"/>
      <c r="X3" s="2470"/>
      <c r="Y3" s="2470"/>
      <c r="Z3" s="2470"/>
      <c r="AA3" s="2470"/>
      <c r="AB3" s="2470"/>
      <c r="AC3" s="2470"/>
      <c r="AD3" s="2470"/>
      <c r="AE3" s="2470"/>
      <c r="AF3" s="2471"/>
      <c r="AG3" s="2469" t="e">
        <f>INDEX(PT_DIFFERENTIATION_TER,MATCH(B3,PT_DIFFERENTIATION_TER_ID,0))</f>
        <v>#N/A</v>
      </c>
      <c r="AH3" s="2470"/>
      <c r="AI3" s="2470"/>
      <c r="AJ3" s="2470"/>
      <c r="AK3" s="2470"/>
      <c r="AL3" s="2470"/>
      <c r="AM3" s="2470"/>
      <c r="AN3" s="2470"/>
      <c r="AO3" s="2470"/>
      <c r="AP3" s="2470"/>
      <c r="AQ3" s="2470"/>
      <c r="AR3" s="2471"/>
      <c r="AS3" s="1177" t="s">
        <v>396</v>
      </c>
      <c r="AU3" s="437"/>
      <c r="AV3" s="437" t="str">
        <f t="shared" si="0"/>
        <v>Территория действия тарифа</v>
      </c>
      <c r="AW3" s="437"/>
      <c r="AX3" s="437"/>
      <c r="AY3" s="1074">
        <v>0</v>
      </c>
    </row>
    <row r="4" spans="1:51" ht="23.25" hidden="1" customHeight="1">
      <c r="A4" s="1282"/>
      <c r="B4" s="1282"/>
      <c r="C4" s="1282"/>
      <c r="D4" s="1282"/>
      <c r="E4" s="2484"/>
      <c r="F4" s="2484"/>
      <c r="G4" s="2483">
        <v>1</v>
      </c>
      <c r="H4" s="1282"/>
      <c r="I4" s="1282"/>
      <c r="J4" s="1282"/>
      <c r="K4" s="1282"/>
      <c r="L4" s="1283"/>
      <c r="M4" s="1284"/>
      <c r="N4" s="1284"/>
      <c r="O4" s="1284"/>
      <c r="P4" s="291"/>
      <c r="Q4" s="289"/>
      <c r="R4" s="290"/>
      <c r="S4" s="1412" t="e">
        <f>INDEX(PT_DIFFERENTIATION_NUM_CS,MATCH(C4,PT_DIFFERENTIATION_CS_ID,0))</f>
        <v>#N/A</v>
      </c>
      <c r="T4" s="246" t="s">
        <v>528</v>
      </c>
      <c r="U4" s="237"/>
      <c r="V4" s="2469"/>
      <c r="W4" s="2470"/>
      <c r="X4" s="2470"/>
      <c r="Y4" s="2470"/>
      <c r="Z4" s="2470"/>
      <c r="AA4" s="2470"/>
      <c r="AB4" s="2470"/>
      <c r="AC4" s="2470"/>
      <c r="AD4" s="2470"/>
      <c r="AE4" s="2470"/>
      <c r="AF4" s="2471"/>
      <c r="AG4" s="2469" t="e">
        <f>INDEX(PT_DIFFERENTIATION_CS,MATCH(C4,PT_DIFFERENTIATION_CS_ID,0))</f>
        <v>#N/A</v>
      </c>
      <c r="AH4" s="2470"/>
      <c r="AI4" s="2470"/>
      <c r="AJ4" s="2470"/>
      <c r="AK4" s="2470"/>
      <c r="AL4" s="2470"/>
      <c r="AM4" s="2470"/>
      <c r="AN4" s="2470"/>
      <c r="AO4" s="2470"/>
      <c r="AP4" s="2470"/>
      <c r="AQ4" s="2470"/>
      <c r="AR4" s="2471"/>
      <c r="AS4" s="1177" t="s">
        <v>529</v>
      </c>
      <c r="AU4" s="437"/>
      <c r="AV4" s="437" t="str">
        <f t="shared" si="0"/>
        <v>Наименование централизованной системы горячего водоснабжения</v>
      </c>
      <c r="AW4" s="437"/>
      <c r="AX4" s="437"/>
      <c r="AY4" s="1074">
        <v>0</v>
      </c>
    </row>
    <row r="5" spans="1:51" ht="23.25" hidden="1" customHeight="1">
      <c r="A5" s="1282"/>
      <c r="B5" s="1282"/>
      <c r="C5" s="1282"/>
      <c r="D5" s="1282"/>
      <c r="E5" s="2484"/>
      <c r="F5" s="2484"/>
      <c r="G5" s="2484"/>
      <c r="H5" s="2484"/>
      <c r="I5" s="2481" t="e">
        <f>S4&amp;".1"</f>
        <v>#N/A</v>
      </c>
      <c r="J5" s="1282"/>
      <c r="K5" s="1282"/>
      <c r="L5" s="1283"/>
      <c r="P5" s="2482">
        <v>1</v>
      </c>
      <c r="Q5" s="1400"/>
      <c r="R5" s="293"/>
      <c r="S5" s="1412" t="e">
        <f>$I5</f>
        <v>#N/A</v>
      </c>
      <c r="T5" s="222" t="s">
        <v>481</v>
      </c>
      <c r="U5" s="237"/>
      <c r="V5" s="2550"/>
      <c r="W5" s="2551"/>
      <c r="X5" s="2551"/>
      <c r="Y5" s="2551"/>
      <c r="Z5" s="2551"/>
      <c r="AA5" s="2551"/>
      <c r="AB5" s="2551"/>
      <c r="AC5" s="2551"/>
      <c r="AD5" s="2551"/>
      <c r="AE5" s="2551"/>
      <c r="AF5" s="2552"/>
      <c r="AG5" s="2553"/>
      <c r="AH5" s="2554"/>
      <c r="AI5" s="2554"/>
      <c r="AJ5" s="2554"/>
      <c r="AK5" s="2554"/>
      <c r="AL5" s="2554"/>
      <c r="AM5" s="2554"/>
      <c r="AN5" s="2554"/>
      <c r="AO5" s="2554"/>
      <c r="AP5" s="2554"/>
      <c r="AQ5" s="2554"/>
      <c r="AR5" s="2555"/>
      <c r="AS5" s="1177" t="s">
        <v>482</v>
      </c>
      <c r="AU5" s="437"/>
      <c r="AV5" s="437" t="str">
        <f t="shared" si="0"/>
        <v>Наименование признака дифференциации</v>
      </c>
      <c r="AW5" s="437"/>
      <c r="AX5" s="437"/>
      <c r="AY5" s="1074">
        <v>0</v>
      </c>
    </row>
    <row r="6" spans="1:51" ht="23.25" hidden="1" customHeight="1">
      <c r="A6" s="1282"/>
      <c r="B6" s="1282"/>
      <c r="C6" s="1282"/>
      <c r="D6" s="1282"/>
      <c r="E6" s="2484"/>
      <c r="F6" s="2484"/>
      <c r="G6" s="2484"/>
      <c r="H6" s="2484"/>
      <c r="I6" s="2504"/>
      <c r="J6" s="2481" t="e">
        <f>I5&amp;".1"</f>
        <v>#N/A</v>
      </c>
      <c r="K6" s="1282"/>
      <c r="L6" s="1283" t="s">
        <v>404</v>
      </c>
      <c r="P6" s="2482"/>
      <c r="Q6" s="2482">
        <v>1</v>
      </c>
      <c r="R6" s="294"/>
      <c r="S6" s="1412" t="e">
        <f>$J6</f>
        <v>#N/A</v>
      </c>
      <c r="T6" s="223" t="s">
        <v>405</v>
      </c>
      <c r="U6" s="237"/>
      <c r="V6" s="2472"/>
      <c r="W6" s="2473"/>
      <c r="X6" s="2473"/>
      <c r="Y6" s="2473"/>
      <c r="Z6" s="2473"/>
      <c r="AA6" s="2473"/>
      <c r="AB6" s="2473"/>
      <c r="AC6" s="2473"/>
      <c r="AD6" s="2473"/>
      <c r="AE6" s="2473"/>
      <c r="AF6" s="2474"/>
      <c r="AG6" s="2472"/>
      <c r="AH6" s="2473"/>
      <c r="AI6" s="2473"/>
      <c r="AJ6" s="2473"/>
      <c r="AK6" s="2473"/>
      <c r="AL6" s="2473"/>
      <c r="AM6" s="2473"/>
      <c r="AN6" s="2473"/>
      <c r="AO6" s="2473"/>
      <c r="AP6" s="2473"/>
      <c r="AQ6" s="2473"/>
      <c r="AR6" s="2474"/>
      <c r="AS6" s="1226" t="s">
        <v>483</v>
      </c>
      <c r="AU6" s="437"/>
      <c r="AV6" s="437" t="str">
        <f t="shared" si="0"/>
        <v>Группа потребителей</v>
      </c>
      <c r="AW6" s="437"/>
      <c r="AX6" s="437"/>
      <c r="AY6" s="1074">
        <v>0</v>
      </c>
    </row>
    <row r="7" spans="1:51" ht="23.25" hidden="1" customHeight="1">
      <c r="A7" s="1282"/>
      <c r="B7" s="1282"/>
      <c r="C7" s="1282"/>
      <c r="D7" s="1282"/>
      <c r="E7" s="2484"/>
      <c r="F7" s="2484"/>
      <c r="G7" s="2484"/>
      <c r="H7" s="2484"/>
      <c r="I7" s="2504"/>
      <c r="J7" s="2504"/>
      <c r="K7" s="2481" t="e">
        <f>J6&amp;".1"</f>
        <v>#N/A</v>
      </c>
      <c r="L7" s="1283"/>
      <c r="P7" s="2482"/>
      <c r="Q7" s="2482"/>
      <c r="R7" s="294">
        <v>1</v>
      </c>
      <c r="S7" s="1412" t="e">
        <f>$K7</f>
        <v>#N/A</v>
      </c>
      <c r="T7" s="1356"/>
      <c r="U7" s="237"/>
      <c r="V7" s="688"/>
      <c r="W7" s="688"/>
      <c r="X7" s="688"/>
      <c r="Y7" s="688"/>
      <c r="Z7" s="688"/>
      <c r="AA7" s="688"/>
      <c r="AB7" s="1176"/>
      <c r="AC7" s="2486"/>
      <c r="AD7" s="2344" t="s">
        <v>64</v>
      </c>
      <c r="AE7" s="2486"/>
      <c r="AF7" s="2344" t="s">
        <v>64</v>
      </c>
      <c r="AG7" s="688"/>
      <c r="AH7" s="688"/>
      <c r="AI7" s="688"/>
      <c r="AJ7" s="688"/>
      <c r="AK7" s="688"/>
      <c r="AL7" s="688"/>
      <c r="AM7" s="1176"/>
      <c r="AN7" s="2486"/>
      <c r="AO7" s="2344" t="s">
        <v>64</v>
      </c>
      <c r="AP7" s="2505"/>
      <c r="AQ7" s="2344" t="s">
        <v>64</v>
      </c>
      <c r="AR7" s="1357"/>
      <c r="AS7" s="25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74">
        <v>0</v>
      </c>
    </row>
    <row r="8" spans="1:51" ht="14.25" hidden="1" customHeight="1">
      <c r="A8" s="1282"/>
      <c r="B8" s="1282"/>
      <c r="C8" s="1282"/>
      <c r="D8" s="1282"/>
      <c r="E8" s="2484"/>
      <c r="F8" s="2484"/>
      <c r="G8" s="2484"/>
      <c r="H8" s="2484"/>
      <c r="I8" s="2504"/>
      <c r="J8" s="2504"/>
      <c r="K8" s="2481"/>
      <c r="L8" s="1283"/>
      <c r="P8" s="2482"/>
      <c r="Q8" s="2482"/>
      <c r="R8" s="294"/>
      <c r="S8" s="1409"/>
      <c r="T8" s="237"/>
      <c r="U8" s="237"/>
      <c r="V8" s="262"/>
      <c r="W8" s="262"/>
      <c r="X8" s="262"/>
      <c r="Y8" s="262"/>
      <c r="Z8" s="262"/>
      <c r="AA8" s="262"/>
      <c r="AB8" s="265" t="str">
        <f>AC7&amp;"-"&amp;AE7</f>
        <v>-</v>
      </c>
      <c r="AC8" s="2487"/>
      <c r="AD8" s="2344"/>
      <c r="AE8" s="2487"/>
      <c r="AF8" s="2344"/>
      <c r="AG8" s="262"/>
      <c r="AH8" s="262"/>
      <c r="AI8" s="262"/>
      <c r="AJ8" s="262"/>
      <c r="AK8" s="262"/>
      <c r="AL8" s="262"/>
      <c r="AM8" s="265" t="str">
        <f>AN7&amp;"-"&amp;AP7</f>
        <v>-</v>
      </c>
      <c r="AN8" s="2487"/>
      <c r="AO8" s="2344"/>
      <c r="AP8" s="2506"/>
      <c r="AQ8" s="2344"/>
      <c r="AR8" s="1358"/>
      <c r="AS8" s="2549"/>
      <c r="AU8" s="437"/>
      <c r="AV8" s="437" t="str">
        <f t="shared" si="0"/>
        <v/>
      </c>
      <c r="AW8" s="437"/>
      <c r="AX8" s="437"/>
      <c r="AY8" s="1074">
        <v>0</v>
      </c>
    </row>
    <row r="9" spans="1:51" ht="21" hidden="1" customHeight="1">
      <c r="A9" s="1282"/>
      <c r="B9" s="1282"/>
      <c r="C9" s="1282"/>
      <c r="D9" s="1282"/>
      <c r="E9" s="2484"/>
      <c r="F9" s="2484"/>
      <c r="G9" s="2484"/>
      <c r="H9" s="2484"/>
      <c r="I9" s="2504"/>
      <c r="J9" s="2481"/>
      <c r="K9" s="1282"/>
      <c r="L9" s="1283"/>
      <c r="P9" s="2482"/>
      <c r="Q9" s="2482"/>
      <c r="R9" s="293"/>
      <c r="S9" s="1197"/>
      <c r="T9" s="224" t="s">
        <v>484</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77" t="s">
        <v>485</v>
      </c>
      <c r="AU9" s="437"/>
      <c r="AV9" s="437" t="str">
        <f t="shared" si="0"/>
        <v>Добавить значение признака дифференциации</v>
      </c>
      <c r="AW9" s="437"/>
      <c r="AX9" s="437"/>
      <c r="AY9" s="1074">
        <v>0</v>
      </c>
    </row>
    <row r="10" spans="1:51" ht="21" hidden="1" customHeight="1">
      <c r="A10" s="1282"/>
      <c r="B10" s="1282"/>
      <c r="C10" s="1282"/>
      <c r="D10" s="1282"/>
      <c r="E10" s="2484"/>
      <c r="F10" s="2484"/>
      <c r="G10" s="2484"/>
      <c r="H10" s="2484"/>
      <c r="I10" s="2481"/>
      <c r="J10" s="1282"/>
      <c r="K10" s="1282"/>
      <c r="L10" s="1283"/>
      <c r="P10" s="2482"/>
      <c r="Q10" s="1400"/>
      <c r="R10" s="293"/>
      <c r="S10" s="1197"/>
      <c r="T10" s="302" t="s">
        <v>410</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59"/>
      <c r="AU10" s="437"/>
      <c r="AV10" s="437" t="str">
        <f t="shared" si="0"/>
        <v>Добавить группу потребителей</v>
      </c>
      <c r="AW10" s="437"/>
      <c r="AX10" s="437"/>
      <c r="AY10" s="1074">
        <v>0</v>
      </c>
    </row>
    <row r="11" spans="1:51" ht="21" hidden="1" customHeight="1">
      <c r="A11" s="1282"/>
      <c r="B11" s="1282"/>
      <c r="C11" s="1282"/>
      <c r="D11" s="1282"/>
      <c r="E11" s="2484"/>
      <c r="F11" s="2484"/>
      <c r="G11" s="2484"/>
      <c r="H11" s="2483"/>
      <c r="I11" s="1282"/>
      <c r="J11" s="1282"/>
      <c r="K11" s="1282"/>
      <c r="L11" s="1283"/>
      <c r="M11" s="1284"/>
      <c r="N11" s="1284"/>
      <c r="O11" s="474"/>
      <c r="P11" s="297"/>
      <c r="Q11" s="312"/>
      <c r="R11" s="292"/>
      <c r="S11" s="1197"/>
      <c r="T11" s="309" t="s">
        <v>486</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74">
        <v>0</v>
      </c>
    </row>
    <row r="12" spans="1:51" s="2245" customFormat="1" ht="14.25" hidden="1" customHeight="1">
      <c r="A12" s="1262"/>
      <c r="B12" s="1262"/>
      <c r="C12" s="1233"/>
      <c r="D12" s="1233"/>
      <c r="E12" s="2484"/>
      <c r="F12" s="2483"/>
      <c r="G12" s="1233"/>
      <c r="H12" s="1233"/>
      <c r="I12" s="1233"/>
      <c r="J12" s="1233"/>
      <c r="K12" s="1233"/>
      <c r="L12" s="1413"/>
      <c r="M12" s="1240"/>
      <c r="N12" s="1240"/>
      <c r="P12" s="1235"/>
      <c r="Q12" s="1236"/>
      <c r="R12" s="1235"/>
      <c r="S12" s="1241"/>
      <c r="T12" s="1244" t="s">
        <v>413</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20"/>
      <c r="AV12" s="720" t="str">
        <f t="shared" si="0"/>
        <v>Добавить централизованную систему для дифференциации</v>
      </c>
      <c r="AW12" s="720"/>
      <c r="AX12" s="720"/>
      <c r="AY12" s="455">
        <v>0</v>
      </c>
    </row>
    <row r="13" spans="1:51" s="2245" customFormat="1" ht="14.25" hidden="1" customHeight="1">
      <c r="A13" s="1262"/>
      <c r="B13" s="1262"/>
      <c r="C13" s="1262"/>
      <c r="D13" s="1262"/>
      <c r="E13" s="2483"/>
      <c r="F13" s="1262"/>
      <c r="G13" s="1262"/>
      <c r="H13" s="1262"/>
      <c r="I13" s="1262"/>
      <c r="J13" s="1262"/>
      <c r="K13" s="1262"/>
      <c r="L13" s="1265"/>
      <c r="M13" s="1240"/>
      <c r="N13" s="1240"/>
      <c r="O13" s="455"/>
      <c r="P13" s="317"/>
      <c r="Q13" s="1263"/>
      <c r="R13" s="317"/>
      <c r="S13" s="1241"/>
      <c r="T13" s="1244" t="s">
        <v>414</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7"/>
      <c r="AV13" s="437" t="str">
        <f t="shared" si="0"/>
        <v>Добавить территорию для дифференциации</v>
      </c>
      <c r="AW13" s="437"/>
      <c r="AX13" s="437"/>
      <c r="AY13" s="448">
        <v>0</v>
      </c>
    </row>
    <row r="14" spans="1:51" ht="14.25" hidden="1" customHeight="1">
      <c r="AF14" s="264"/>
      <c r="AQ14" s="264"/>
      <c r="AY14" s="1074">
        <v>0</v>
      </c>
    </row>
    <row r="15" spans="1:51" ht="14.25" hidden="1" customHeight="1">
      <c r="AG15" s="1279"/>
      <c r="AH15" s="1279"/>
      <c r="AI15" s="1279"/>
      <c r="AJ15" s="1279"/>
      <c r="AK15" s="1279"/>
      <c r="AL15" s="1279"/>
      <c r="AM15" s="1280"/>
      <c r="AN15" s="2488"/>
      <c r="AO15" s="2489" t="s">
        <v>64</v>
      </c>
      <c r="AP15" s="2488"/>
      <c r="AQ15" s="2489" t="s">
        <v>64</v>
      </c>
      <c r="AY15" s="1074">
        <v>0</v>
      </c>
    </row>
    <row r="16" spans="1:51" ht="14.25" hidden="1" customHeight="1">
      <c r="AG16" s="1279"/>
      <c r="AH16" s="1279"/>
      <c r="AI16" s="1279"/>
      <c r="AJ16" s="1279"/>
      <c r="AK16" s="1279"/>
      <c r="AL16" s="1279"/>
      <c r="AM16" s="265" t="str">
        <f>AN15&amp;"-"&amp;AP15</f>
        <v>-</v>
      </c>
      <c r="AN16" s="2489"/>
      <c r="AO16" s="2489"/>
      <c r="AP16" s="2489"/>
      <c r="AQ16" s="2489"/>
      <c r="AY16" s="1074">
        <v>0</v>
      </c>
    </row>
    <row r="17" spans="1:51" ht="14.25" hidden="1" customHeight="1">
      <c r="AQ17" s="264"/>
      <c r="AY17" s="1074">
        <v>0</v>
      </c>
    </row>
    <row r="18" spans="1:51" s="2244" customFormat="1" ht="22.5" hidden="1" customHeight="1">
      <c r="L18" s="1397"/>
      <c r="M18" s="1281"/>
      <c r="N18" s="1281"/>
      <c r="O18" s="1286" t="s">
        <v>415</v>
      </c>
      <c r="P18" s="1281"/>
      <c r="Q18" s="1290"/>
      <c r="R18" s="1290"/>
      <c r="S18" s="666"/>
      <c r="W18" s="1285"/>
      <c r="X18" s="1285"/>
      <c r="Y18" s="1285"/>
      <c r="Z18" s="1285"/>
      <c r="AA18" s="1285"/>
      <c r="AC18" s="1286"/>
      <c r="AE18" s="1286"/>
      <c r="AF18" s="1285"/>
      <c r="AH18" s="1285"/>
      <c r="AI18" s="1285"/>
      <c r="AJ18" s="1285"/>
      <c r="AK18" s="1285"/>
      <c r="AL18" s="1285"/>
      <c r="AN18" s="1286"/>
      <c r="AP18" s="1286"/>
      <c r="AQ18" s="1285"/>
      <c r="AT18" s="448"/>
      <c r="AU18" s="448"/>
      <c r="AV18" s="448"/>
      <c r="AW18" s="448"/>
      <c r="AX18" s="448"/>
      <c r="AY18" s="1079">
        <v>0</v>
      </c>
    </row>
    <row r="19" spans="1:51" s="2244" customFormat="1" ht="14.25" hidden="1" customHeight="1">
      <c r="L19" s="1397"/>
      <c r="M19" s="1281"/>
      <c r="N19" s="1281"/>
      <c r="O19" s="1281"/>
      <c r="P19" s="1281"/>
      <c r="Q19" s="1290"/>
      <c r="R19" s="1290"/>
      <c r="S19" s="666"/>
      <c r="W19" s="1285"/>
      <c r="X19" s="1285"/>
      <c r="Y19" s="1285"/>
      <c r="Z19" s="1285"/>
      <c r="AA19" s="1285"/>
      <c r="AF19" s="1285"/>
      <c r="AH19" s="1285"/>
      <c r="AI19" s="1285"/>
      <c r="AJ19" s="1285"/>
      <c r="AK19" s="1285"/>
      <c r="AL19" s="1285"/>
      <c r="AQ19" s="1285"/>
      <c r="AT19" s="448"/>
      <c r="AU19" s="448"/>
      <c r="AV19" s="448"/>
      <c r="AW19" s="448"/>
      <c r="AX19" s="448"/>
      <c r="AY19" s="1079">
        <v>0</v>
      </c>
    </row>
    <row r="20" spans="1:51" s="2244" customFormat="1" ht="12" hidden="1" customHeight="1">
      <c r="L20" s="1397"/>
      <c r="M20" s="1281"/>
      <c r="N20" s="1281"/>
      <c r="O20" s="1283" t="s">
        <v>416</v>
      </c>
      <c r="P20" s="1281"/>
      <c r="Q20" s="1361"/>
      <c r="R20" s="1361"/>
      <c r="S20" s="666"/>
      <c r="T20" s="1079" t="s">
        <v>417</v>
      </c>
      <c r="W20" s="1285"/>
      <c r="X20" s="1285"/>
      <c r="Y20" s="1285"/>
      <c r="Z20" s="1285"/>
      <c r="AA20" s="1285"/>
      <c r="AD20" s="123" t="s">
        <v>418</v>
      </c>
      <c r="AF20" s="123" t="s">
        <v>419</v>
      </c>
      <c r="AG20" s="1079" t="s">
        <v>417</v>
      </c>
      <c r="AH20" s="1285"/>
      <c r="AI20" s="1285"/>
      <c r="AJ20" s="1285"/>
      <c r="AK20" s="1285"/>
      <c r="AL20" s="1285"/>
      <c r="AO20" s="123" t="s">
        <v>420</v>
      </c>
      <c r="AQ20" s="123" t="s">
        <v>419</v>
      </c>
      <c r="AY20" s="1079">
        <v>0</v>
      </c>
    </row>
    <row r="21" spans="1:51" ht="14.25" hidden="1" customHeight="1">
      <c r="O21" s="1283"/>
      <c r="AY21" s="1074">
        <v>0</v>
      </c>
    </row>
    <row r="22" spans="1:51" ht="14.25" hidden="1" customHeight="1">
      <c r="O22" s="1283"/>
      <c r="AY22" s="1074">
        <v>0</v>
      </c>
    </row>
    <row r="23" spans="1:51" ht="14.65" customHeight="1">
      <c r="Q23" s="313"/>
      <c r="R23" s="313"/>
      <c r="S23" s="1194"/>
      <c r="T23" s="300"/>
      <c r="U23" s="300"/>
      <c r="V23" s="446"/>
      <c r="W23" s="1554"/>
      <c r="X23" s="1554"/>
      <c r="Y23" s="1554"/>
      <c r="Z23" s="1554"/>
      <c r="AA23" s="1554"/>
      <c r="AB23" s="446"/>
      <c r="AC23" s="446"/>
      <c r="AD23" s="446"/>
      <c r="AE23" s="446"/>
      <c r="AF23" s="446"/>
      <c r="AG23" s="446"/>
      <c r="AH23" s="1554"/>
      <c r="AI23" s="1554"/>
      <c r="AJ23" s="1554"/>
      <c r="AK23" s="1554"/>
      <c r="AL23" s="1554"/>
      <c r="AM23" s="446"/>
      <c r="AN23" s="446"/>
      <c r="AO23" s="446"/>
      <c r="AP23" s="446"/>
      <c r="AQ23" s="446"/>
      <c r="AY23" s="1074">
        <v>14</v>
      </c>
    </row>
    <row r="24" spans="1:51" ht="26.25" customHeight="1">
      <c r="Q24" s="313"/>
      <c r="R24" s="313"/>
      <c r="S24" s="246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67"/>
      <c r="U24" s="2467"/>
      <c r="V24" s="2467"/>
      <c r="W24" s="2467"/>
      <c r="X24" s="2467"/>
      <c r="Y24" s="2467"/>
      <c r="Z24" s="2467"/>
      <c r="AA24" s="2467"/>
      <c r="AB24" s="2467"/>
      <c r="AC24" s="2467"/>
      <c r="AD24" s="2467"/>
      <c r="AE24" s="2467"/>
      <c r="AF24" s="2467"/>
      <c r="AG24" s="2467"/>
      <c r="AH24" s="2467"/>
      <c r="AI24" s="2467"/>
      <c r="AJ24" s="2467"/>
      <c r="AK24" s="2467"/>
      <c r="AL24" s="2467"/>
      <c r="AM24" s="2467"/>
      <c r="AN24" s="2467"/>
      <c r="AO24" s="2467"/>
      <c r="AP24" s="2467"/>
      <c r="AQ24" s="1162"/>
      <c r="AY24" s="1074">
        <v>25</v>
      </c>
    </row>
    <row r="25" spans="1:51" ht="14.65" customHeight="1">
      <c r="Q25" s="313"/>
      <c r="R25" s="313"/>
      <c r="S25" s="2412" t="str">
        <f>IF(org=0,"Не определено",org)</f>
        <v>МУП "Водоканал"</v>
      </c>
      <c r="T25" s="2412"/>
      <c r="U25" s="2412"/>
      <c r="V25" s="2412"/>
      <c r="W25" s="2412"/>
      <c r="X25" s="2412"/>
      <c r="Y25" s="2412"/>
      <c r="Z25" s="2412"/>
      <c r="AA25" s="2412"/>
      <c r="AB25" s="2412"/>
      <c r="AC25" s="2412"/>
      <c r="AD25" s="2412"/>
      <c r="AE25" s="2412"/>
      <c r="AF25" s="2412"/>
      <c r="AG25" s="2412"/>
      <c r="AH25" s="2412"/>
      <c r="AI25" s="2412"/>
      <c r="AJ25" s="2412"/>
      <c r="AK25" s="2412"/>
      <c r="AL25" s="2412"/>
      <c r="AM25" s="2412"/>
      <c r="AN25" s="2412"/>
      <c r="AO25" s="2412"/>
      <c r="AP25" s="2412"/>
      <c r="AQ25" s="1162"/>
      <c r="AY25" s="1074">
        <v>14</v>
      </c>
    </row>
    <row r="26" spans="1:51" ht="14.25" hidden="1" customHeight="1">
      <c r="Q26" s="313"/>
      <c r="R26" s="313"/>
      <c r="S26" s="1194"/>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74">
        <v>0</v>
      </c>
    </row>
    <row r="27" spans="1:51" s="2254" customFormat="1" ht="25.5" hidden="1" customHeight="1">
      <c r="A27" s="1287"/>
      <c r="B27" s="1287"/>
      <c r="C27" s="1287"/>
      <c r="D27" s="1287"/>
      <c r="E27" s="1287"/>
      <c r="F27" s="1287"/>
      <c r="G27" s="1287"/>
      <c r="H27" s="1287"/>
      <c r="I27" s="1287"/>
      <c r="J27" s="1287"/>
      <c r="K27" s="1287"/>
      <c r="L27" s="1288"/>
      <c r="M27" s="1287"/>
      <c r="N27" s="1287"/>
      <c r="O27" s="1287"/>
      <c r="S27" s="2475" t="s">
        <v>41</v>
      </c>
      <c r="T27" s="2475"/>
      <c r="U27" s="1291"/>
      <c r="V27" s="2476" t="str">
        <f>IF(TITLE_NAME_OR_PR_CHANGE="",IF(TITLE_NAME_OR_PR="","",TITLE_NAME_OR_PR),TITLE_NAME_OR_PR_CHANGE)</f>
        <v/>
      </c>
      <c r="W27" s="2476"/>
      <c r="X27" s="2476"/>
      <c r="Y27" s="2476"/>
      <c r="Z27" s="2476"/>
      <c r="AA27" s="2476"/>
      <c r="AB27" s="2476"/>
      <c r="AC27" s="2476"/>
      <c r="AD27" s="2476"/>
      <c r="AE27" s="2476"/>
      <c r="AF27" s="263"/>
      <c r="AG27" s="2476" t="str">
        <f>IF(TITLE_NAME_OR_PR_CHANGE="",IF(TITLE_NAME_OR_PR="","",TITLE_NAME_OR_PR),TITLE_NAME_OR_PR_CHANGE)</f>
        <v/>
      </c>
      <c r="AH27" s="2476"/>
      <c r="AI27" s="2476"/>
      <c r="AJ27" s="2476"/>
      <c r="AK27" s="2476"/>
      <c r="AL27" s="2476"/>
      <c r="AM27" s="2476"/>
      <c r="AN27" s="2476"/>
      <c r="AO27" s="2476"/>
      <c r="AP27" s="2476"/>
      <c r="AQ27" s="263"/>
      <c r="AR27" s="263"/>
      <c r="AS27" s="217"/>
      <c r="AT27" s="305"/>
      <c r="AU27" s="305"/>
      <c r="AV27" s="305"/>
      <c r="AW27" s="305"/>
      <c r="AX27" s="305"/>
      <c r="AY27" s="355">
        <v>0</v>
      </c>
    </row>
    <row r="28" spans="1:51" s="2254" customFormat="1" ht="18.75" hidden="1" customHeight="1">
      <c r="A28" s="1287"/>
      <c r="B28" s="1287"/>
      <c r="C28" s="1287"/>
      <c r="D28" s="1287"/>
      <c r="E28" s="1287"/>
      <c r="F28" s="1287"/>
      <c r="G28" s="1287"/>
      <c r="H28" s="1287"/>
      <c r="I28" s="1287"/>
      <c r="J28" s="1287"/>
      <c r="K28" s="1287"/>
      <c r="L28" s="1288"/>
      <c r="M28" s="1287"/>
      <c r="N28" s="1287"/>
      <c r="O28" s="1287"/>
      <c r="S28" s="2475" t="s">
        <v>421</v>
      </c>
      <c r="T28" s="2475"/>
      <c r="U28" s="1291"/>
      <c r="V28" s="2485" t="str">
        <f>IF(TITLE_DATE_PR_CHANGE="",IF(TITLE_DATE_PR="","",TITLE_DATE_PR),TITLE_DATE_PR_CHANGE)</f>
        <v/>
      </c>
      <c r="W28" s="2485"/>
      <c r="X28" s="2485"/>
      <c r="Y28" s="2485"/>
      <c r="Z28" s="2485"/>
      <c r="AA28" s="2485"/>
      <c r="AB28" s="2485"/>
      <c r="AC28" s="2485"/>
      <c r="AD28" s="2485"/>
      <c r="AE28" s="2485"/>
      <c r="AF28" s="263"/>
      <c r="AG28" s="2485" t="str">
        <f>IF(TITLE_DATE_PR_CHANGE="",IF(TITLE_DATE_PR="","",TITLE_DATE_PR),TITLE_DATE_PR_CHANGE)</f>
        <v/>
      </c>
      <c r="AH28" s="2485"/>
      <c r="AI28" s="2485"/>
      <c r="AJ28" s="2485"/>
      <c r="AK28" s="2485"/>
      <c r="AL28" s="2485"/>
      <c r="AM28" s="2485"/>
      <c r="AN28" s="2485"/>
      <c r="AO28" s="2485"/>
      <c r="AP28" s="2485"/>
      <c r="AQ28" s="263"/>
      <c r="AR28" s="263"/>
      <c r="AS28" s="217"/>
      <c r="AT28" s="305"/>
      <c r="AU28" s="305"/>
      <c r="AV28" s="305"/>
      <c r="AW28" s="305"/>
      <c r="AX28" s="305"/>
      <c r="AY28" s="355">
        <v>0</v>
      </c>
    </row>
    <row r="29" spans="1:51" s="2254" customFormat="1" ht="18.75" hidden="1" customHeight="1">
      <c r="A29" s="1287"/>
      <c r="B29" s="1287"/>
      <c r="C29" s="1287"/>
      <c r="D29" s="1287"/>
      <c r="E29" s="1287"/>
      <c r="F29" s="1287"/>
      <c r="G29" s="1287"/>
      <c r="H29" s="1287"/>
      <c r="I29" s="1287"/>
      <c r="J29" s="1287"/>
      <c r="K29" s="1287"/>
      <c r="L29" s="1288"/>
      <c r="M29" s="1287"/>
      <c r="N29" s="1287"/>
      <c r="O29" s="1287"/>
      <c r="S29" s="2475" t="s">
        <v>422</v>
      </c>
      <c r="T29" s="2475"/>
      <c r="U29" s="1291"/>
      <c r="V29" s="2476" t="str">
        <f>IF(TITLE_NUMBER_PR_CHANGE="",IF(TITLE_NUMBER_PR="","",TITLE_NUMBER_PR),TITLE_NUMBER_PR_CHANGE)</f>
        <v/>
      </c>
      <c r="W29" s="2476"/>
      <c r="X29" s="2476"/>
      <c r="Y29" s="2476"/>
      <c r="Z29" s="2476"/>
      <c r="AA29" s="2476"/>
      <c r="AB29" s="2476"/>
      <c r="AC29" s="2476"/>
      <c r="AD29" s="2476"/>
      <c r="AE29" s="2476"/>
      <c r="AF29" s="263"/>
      <c r="AG29" s="2476" t="str">
        <f>IF(TITLE_NUMBER_PR_CHANGE="",IF(TITLE_NUMBER_PR="","",TITLE_NUMBER_PR),TITLE_NUMBER_PR_CHANGE)</f>
        <v/>
      </c>
      <c r="AH29" s="2476"/>
      <c r="AI29" s="2476"/>
      <c r="AJ29" s="2476"/>
      <c r="AK29" s="2476"/>
      <c r="AL29" s="2476"/>
      <c r="AM29" s="2476"/>
      <c r="AN29" s="2476"/>
      <c r="AO29" s="2476"/>
      <c r="AP29" s="2476"/>
      <c r="AQ29" s="263"/>
      <c r="AR29" s="263"/>
      <c r="AS29" s="217"/>
      <c r="AT29" s="305"/>
      <c r="AU29" s="305"/>
      <c r="AV29" s="305"/>
      <c r="AW29" s="305"/>
      <c r="AX29" s="305"/>
      <c r="AY29" s="355">
        <v>0</v>
      </c>
    </row>
    <row r="30" spans="1:51" s="2254" customFormat="1" ht="18.75" hidden="1" customHeight="1">
      <c r="A30" s="1287"/>
      <c r="B30" s="1287"/>
      <c r="C30" s="1287"/>
      <c r="D30" s="1287"/>
      <c r="E30" s="1287"/>
      <c r="F30" s="1287"/>
      <c r="G30" s="1287"/>
      <c r="H30" s="1287"/>
      <c r="I30" s="1287"/>
      <c r="J30" s="1287"/>
      <c r="K30" s="1287"/>
      <c r="L30" s="1288"/>
      <c r="M30" s="1287"/>
      <c r="N30" s="1287"/>
      <c r="O30" s="1287"/>
      <c r="S30" s="2475" t="s">
        <v>42</v>
      </c>
      <c r="T30" s="2475"/>
      <c r="U30" s="1291"/>
      <c r="V30" s="2476" t="str">
        <f>IF(TITLE_IST_PUB_CHANGE="",IF(TITLE_IST_PUB="","",TITLE_IST_PUB),TITLE_IST_PUB_CHANGE)</f>
        <v/>
      </c>
      <c r="W30" s="2476"/>
      <c r="X30" s="2476"/>
      <c r="Y30" s="2476"/>
      <c r="Z30" s="2476"/>
      <c r="AA30" s="2476"/>
      <c r="AB30" s="2476"/>
      <c r="AC30" s="2476"/>
      <c r="AD30" s="2476"/>
      <c r="AE30" s="2476"/>
      <c r="AF30" s="263"/>
      <c r="AG30" s="2476" t="str">
        <f>IF(TITLE_IST_PUB_CHANGE="",IF(TITLE_IST_PUB="","",TITLE_IST_PUB),TITLE_IST_PUB_CHANGE)</f>
        <v/>
      </c>
      <c r="AH30" s="2476"/>
      <c r="AI30" s="2476"/>
      <c r="AJ30" s="2476"/>
      <c r="AK30" s="2476"/>
      <c r="AL30" s="2476"/>
      <c r="AM30" s="2476"/>
      <c r="AN30" s="2476"/>
      <c r="AO30" s="2476"/>
      <c r="AP30" s="2476"/>
      <c r="AQ30" s="263"/>
      <c r="AR30" s="263"/>
      <c r="AS30" s="217"/>
      <c r="AT30" s="305"/>
      <c r="AU30" s="305"/>
      <c r="AV30" s="305"/>
      <c r="AW30" s="305"/>
      <c r="AX30" s="305"/>
      <c r="AY30" s="355">
        <v>0</v>
      </c>
    </row>
    <row r="31" spans="1:51" ht="14.25" hidden="1" customHeight="1">
      <c r="Q31" s="313"/>
      <c r="R31" s="313"/>
      <c r="S31" s="1194"/>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74">
        <v>0</v>
      </c>
    </row>
    <row r="32" spans="1:51" s="2254" customFormat="1" ht="18.75" hidden="1" customHeight="1">
      <c r="A32" s="1287"/>
      <c r="B32" s="1287"/>
      <c r="C32" s="1287"/>
      <c r="D32" s="1287"/>
      <c r="E32" s="1287"/>
      <c r="F32" s="1287"/>
      <c r="G32" s="1287"/>
      <c r="H32" s="1287"/>
      <c r="I32" s="1287"/>
      <c r="J32" s="1287"/>
      <c r="K32" s="1287"/>
      <c r="L32" s="1288"/>
      <c r="M32" s="1287"/>
      <c r="N32" s="1287"/>
      <c r="O32" s="1287"/>
      <c r="S32" s="2475" t="s">
        <v>423</v>
      </c>
      <c r="T32" s="2475"/>
      <c r="U32" s="1291"/>
      <c r="V32" s="2485" t="str">
        <f>IF(TITLE_DATE_PR_CHANGE="",IF(TITLE_DATE_PR="","",TITLE_DATE_PR),TITLE_DATE_PR_CHANGE)</f>
        <v/>
      </c>
      <c r="W32" s="2485"/>
      <c r="X32" s="2485"/>
      <c r="Y32" s="2485"/>
      <c r="Z32" s="2485"/>
      <c r="AA32" s="2485"/>
      <c r="AB32" s="2485"/>
      <c r="AC32" s="2485"/>
      <c r="AD32" s="2485"/>
      <c r="AE32" s="2485"/>
      <c r="AF32" s="263"/>
      <c r="AG32" s="2485" t="str">
        <f>IF(TITLE_DATE_PR_CHANGE="",IF(TITLE_DATE_PR="","",TITLE_DATE_PR),TITLE_DATE_PR_CHANGE)</f>
        <v/>
      </c>
      <c r="AH32" s="2485"/>
      <c r="AI32" s="2485"/>
      <c r="AJ32" s="2485"/>
      <c r="AK32" s="2485"/>
      <c r="AL32" s="2485"/>
      <c r="AM32" s="2485"/>
      <c r="AN32" s="2485"/>
      <c r="AO32" s="2485"/>
      <c r="AP32" s="2485"/>
      <c r="AQ32" s="263"/>
      <c r="AR32" s="263"/>
      <c r="AS32" s="217"/>
      <c r="AT32" s="305"/>
      <c r="AU32" s="305"/>
      <c r="AV32" s="305"/>
      <c r="AW32" s="305"/>
      <c r="AX32" s="305"/>
      <c r="AY32" s="355">
        <v>0</v>
      </c>
    </row>
    <row r="33" spans="1:51" s="2254" customFormat="1" ht="18.75" hidden="1" customHeight="1">
      <c r="A33" s="1287"/>
      <c r="B33" s="1287"/>
      <c r="C33" s="1287"/>
      <c r="D33" s="1287"/>
      <c r="E33" s="1287"/>
      <c r="F33" s="1287"/>
      <c r="G33" s="1287"/>
      <c r="H33" s="1287"/>
      <c r="I33" s="1287"/>
      <c r="J33" s="1287"/>
      <c r="K33" s="1287"/>
      <c r="L33" s="1288"/>
      <c r="M33" s="1287"/>
      <c r="N33" s="1287"/>
      <c r="O33" s="1287"/>
      <c r="S33" s="2475" t="s">
        <v>424</v>
      </c>
      <c r="T33" s="2475"/>
      <c r="U33" s="1291"/>
      <c r="V33" s="2476" t="str">
        <f>IF(TITLE_NUMBER_PR_CHANGE="",IF(TITLE_NUMBER_PR="","",TITLE_NUMBER_PR),TITLE_NUMBER_PR_CHANGE)</f>
        <v/>
      </c>
      <c r="W33" s="2476"/>
      <c r="X33" s="2476"/>
      <c r="Y33" s="2476"/>
      <c r="Z33" s="2476"/>
      <c r="AA33" s="2476"/>
      <c r="AB33" s="2476"/>
      <c r="AC33" s="2476"/>
      <c r="AD33" s="2476"/>
      <c r="AE33" s="2476"/>
      <c r="AF33" s="263"/>
      <c r="AG33" s="2476" t="str">
        <f>IF(TITLE_NUMBER_PR_CHANGE="",IF(TITLE_NUMBER_PR="","",TITLE_NUMBER_PR),TITLE_NUMBER_PR_CHANGE)</f>
        <v/>
      </c>
      <c r="AH33" s="2476"/>
      <c r="AI33" s="2476"/>
      <c r="AJ33" s="2476"/>
      <c r="AK33" s="2476"/>
      <c r="AL33" s="2476"/>
      <c r="AM33" s="2476"/>
      <c r="AN33" s="2476"/>
      <c r="AO33" s="2476"/>
      <c r="AP33" s="2476"/>
      <c r="AQ33" s="263"/>
      <c r="AR33" s="263"/>
      <c r="AS33" s="217"/>
      <c r="AT33" s="305"/>
      <c r="AU33" s="305"/>
      <c r="AV33" s="305"/>
      <c r="AW33" s="305"/>
      <c r="AX33" s="305"/>
      <c r="AY33" s="355">
        <v>0</v>
      </c>
    </row>
    <row r="34" spans="1:51" s="2254"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263"/>
      <c r="AC34" s="263"/>
      <c r="AD34" s="263"/>
      <c r="AE34" s="263"/>
      <c r="AF34" s="215" t="s">
        <v>425</v>
      </c>
      <c r="AG34" s="263"/>
      <c r="AH34" s="1554"/>
      <c r="AI34" s="1554"/>
      <c r="AJ34" s="1554"/>
      <c r="AK34" s="1554"/>
      <c r="AL34" s="1554"/>
      <c r="AM34" s="263"/>
      <c r="AN34" s="263"/>
      <c r="AO34" s="263"/>
      <c r="AP34" s="263"/>
      <c r="AQ34" s="215" t="s">
        <v>425</v>
      </c>
      <c r="AT34" s="305"/>
      <c r="AU34" s="305"/>
      <c r="AV34" s="305"/>
      <c r="AW34" s="305"/>
      <c r="AX34" s="305"/>
      <c r="AY34" s="355">
        <v>1</v>
      </c>
    </row>
    <row r="35" spans="1:51" ht="14.65" customHeight="1">
      <c r="Q35" s="313"/>
      <c r="R35" s="313"/>
      <c r="S35" s="1194"/>
      <c r="T35" s="300"/>
      <c r="U35" s="1163"/>
      <c r="V35" s="2477"/>
      <c r="W35" s="2477"/>
      <c r="X35" s="2477"/>
      <c r="Y35" s="2477"/>
      <c r="Z35" s="2477"/>
      <c r="AA35" s="2477"/>
      <c r="AB35" s="2477"/>
      <c r="AC35" s="2477"/>
      <c r="AD35" s="2477"/>
      <c r="AE35" s="2477"/>
      <c r="AF35" s="2477"/>
      <c r="AG35" s="2477"/>
      <c r="AH35" s="2477"/>
      <c r="AI35" s="2477"/>
      <c r="AJ35" s="2477"/>
      <c r="AK35" s="2477"/>
      <c r="AL35" s="2477"/>
      <c r="AM35" s="2477"/>
      <c r="AN35" s="2477"/>
      <c r="AO35" s="2477"/>
      <c r="AP35" s="2477"/>
      <c r="AQ35" s="2477"/>
      <c r="AY35" s="1074">
        <v>14</v>
      </c>
    </row>
    <row r="36" spans="1:51" ht="14.65" customHeight="1">
      <c r="Q36" s="313"/>
      <c r="R36" s="313"/>
      <c r="S36" s="2363" t="s">
        <v>298</v>
      </c>
      <c r="T36" s="2363"/>
      <c r="U36" s="2363"/>
      <c r="V36" s="2363"/>
      <c r="W36" s="2363"/>
      <c r="X36" s="2363"/>
      <c r="Y36" s="2363"/>
      <c r="Z36" s="2363"/>
      <c r="AA36" s="2363"/>
      <c r="AB36" s="2363"/>
      <c r="AC36" s="2363"/>
      <c r="AD36" s="2363"/>
      <c r="AE36" s="2363"/>
      <c r="AF36" s="2363"/>
      <c r="AG36" s="2363"/>
      <c r="AH36" s="2363"/>
      <c r="AI36" s="2363"/>
      <c r="AJ36" s="2363"/>
      <c r="AK36" s="2363"/>
      <c r="AL36" s="2363"/>
      <c r="AM36" s="2363"/>
      <c r="AN36" s="2363"/>
      <c r="AO36" s="2363"/>
      <c r="AP36" s="2363"/>
      <c r="AQ36" s="2363"/>
      <c r="AR36" s="2363"/>
      <c r="AS36" s="2363" t="s">
        <v>299</v>
      </c>
      <c r="AY36" s="1074">
        <v>14</v>
      </c>
    </row>
    <row r="37" spans="1:51" ht="14.65" customHeight="1">
      <c r="Q37" s="313"/>
      <c r="R37" s="313"/>
      <c r="S37" s="2491" t="s">
        <v>87</v>
      </c>
      <c r="T37" s="2442" t="s">
        <v>426</v>
      </c>
      <c r="U37" s="238"/>
      <c r="V37" s="2492" t="s">
        <v>427</v>
      </c>
      <c r="W37" s="2493"/>
      <c r="X37" s="2493"/>
      <c r="Y37" s="2493"/>
      <c r="Z37" s="2493"/>
      <c r="AA37" s="2493"/>
      <c r="AB37" s="2493"/>
      <c r="AC37" s="2493"/>
      <c r="AD37" s="2493"/>
      <c r="AE37" s="2494"/>
      <c r="AF37" s="2495" t="s">
        <v>428</v>
      </c>
      <c r="AG37" s="2492" t="s">
        <v>427</v>
      </c>
      <c r="AH37" s="2493"/>
      <c r="AI37" s="2493"/>
      <c r="AJ37" s="2493"/>
      <c r="AK37" s="2493"/>
      <c r="AL37" s="2493"/>
      <c r="AM37" s="2493"/>
      <c r="AN37" s="2493"/>
      <c r="AO37" s="2493"/>
      <c r="AP37" s="2494"/>
      <c r="AQ37" s="2495" t="s">
        <v>429</v>
      </c>
      <c r="AR37" s="2498" t="s">
        <v>430</v>
      </c>
      <c r="AS37" s="2363"/>
      <c r="AY37" s="1074">
        <v>14</v>
      </c>
    </row>
    <row r="38" spans="1:51" s="2238" customFormat="1" ht="19.899999999999999" customHeight="1">
      <c r="A38" s="1285"/>
      <c r="B38" s="1285"/>
      <c r="C38" s="1285"/>
      <c r="D38" s="1285"/>
      <c r="E38" s="1285"/>
      <c r="F38" s="1285"/>
      <c r="G38" s="1285"/>
      <c r="H38" s="1285"/>
      <c r="I38" s="1285"/>
      <c r="J38" s="1285"/>
      <c r="K38" s="1285"/>
      <c r="L38" s="1893"/>
      <c r="M38" s="1281"/>
      <c r="N38" s="1281"/>
      <c r="O38" s="1281"/>
      <c r="P38" s="1894"/>
      <c r="Q38" s="313"/>
      <c r="R38" s="313"/>
      <c r="S38" s="2491"/>
      <c r="T38" s="2442"/>
      <c r="U38" s="955"/>
      <c r="V38" s="2363" t="s">
        <v>530</v>
      </c>
      <c r="W38" s="2565" t="s">
        <v>531</v>
      </c>
      <c r="X38" s="2565"/>
      <c r="Y38" s="2565"/>
      <c r="Z38" s="2565" t="s">
        <v>532</v>
      </c>
      <c r="AA38" s="2565"/>
      <c r="AB38" s="2565"/>
      <c r="AC38" s="2428" t="s">
        <v>434</v>
      </c>
      <c r="AD38" s="2523"/>
      <c r="AE38" s="2429"/>
      <c r="AF38" s="2496"/>
      <c r="AG38" s="2363" t="s">
        <v>530</v>
      </c>
      <c r="AH38" s="2565" t="s">
        <v>531</v>
      </c>
      <c r="AI38" s="2565"/>
      <c r="AJ38" s="2565"/>
      <c r="AK38" s="2565" t="s">
        <v>532</v>
      </c>
      <c r="AL38" s="2565"/>
      <c r="AM38" s="2565"/>
      <c r="AN38" s="2428" t="s">
        <v>434</v>
      </c>
      <c r="AO38" s="2523"/>
      <c r="AP38" s="2429"/>
      <c r="AQ38" s="2496"/>
      <c r="AR38" s="2499"/>
      <c r="AS38" s="2363"/>
      <c r="AT38" s="1555"/>
      <c r="AU38" s="1555"/>
      <c r="AV38" s="1555"/>
      <c r="AW38" s="1555"/>
      <c r="AX38" s="1555"/>
      <c r="AY38" s="1550">
        <v>19</v>
      </c>
    </row>
    <row r="39" spans="1:51" ht="19.899999999999999" customHeight="1">
      <c r="Q39" s="313"/>
      <c r="R39" s="313"/>
      <c r="S39" s="2491"/>
      <c r="T39" s="2442"/>
      <c r="U39" s="955"/>
      <c r="V39" s="2363"/>
      <c r="W39" s="2565" t="s">
        <v>533</v>
      </c>
      <c r="X39" s="2565" t="s">
        <v>534</v>
      </c>
      <c r="Y39" s="2565"/>
      <c r="Z39" s="2565" t="s">
        <v>535</v>
      </c>
      <c r="AA39" s="2565" t="s">
        <v>534</v>
      </c>
      <c r="AB39" s="2565"/>
      <c r="AC39" s="2433"/>
      <c r="AD39" s="2524"/>
      <c r="AE39" s="2434"/>
      <c r="AF39" s="2496"/>
      <c r="AG39" s="2363"/>
      <c r="AH39" s="2565" t="s">
        <v>533</v>
      </c>
      <c r="AI39" s="2565" t="s">
        <v>534</v>
      </c>
      <c r="AJ39" s="2565"/>
      <c r="AK39" s="2565" t="s">
        <v>535</v>
      </c>
      <c r="AL39" s="2565" t="s">
        <v>534</v>
      </c>
      <c r="AM39" s="2565"/>
      <c r="AN39" s="2433"/>
      <c r="AO39" s="2524"/>
      <c r="AP39" s="2434"/>
      <c r="AQ39" s="2496"/>
      <c r="AR39" s="2499"/>
      <c r="AS39" s="2363"/>
      <c r="AY39" s="1074">
        <v>19</v>
      </c>
    </row>
    <row r="40" spans="1:51" ht="61.9" customHeight="1">
      <c r="A40" s="1289"/>
      <c r="B40" s="1289" t="s">
        <v>135</v>
      </c>
      <c r="C40" s="1289" t="s">
        <v>136</v>
      </c>
      <c r="D40" s="1289" t="s">
        <v>137</v>
      </c>
      <c r="E40" s="1283" t="s">
        <v>435</v>
      </c>
      <c r="F40" s="1283" t="s">
        <v>436</v>
      </c>
      <c r="G40" s="1283" t="s">
        <v>437</v>
      </c>
      <c r="H40" s="1283"/>
      <c r="I40" s="1283" t="s">
        <v>488</v>
      </c>
      <c r="J40" s="1283" t="s">
        <v>440</v>
      </c>
      <c r="K40" s="1283" t="s">
        <v>489</v>
      </c>
      <c r="L40" s="1283" t="s">
        <v>416</v>
      </c>
      <c r="Q40" s="313"/>
      <c r="R40" s="313"/>
      <c r="S40" s="2491"/>
      <c r="T40" s="2442"/>
      <c r="U40" s="239"/>
      <c r="V40" s="2363"/>
      <c r="W40" s="2565"/>
      <c r="X40" s="1896" t="s">
        <v>536</v>
      </c>
      <c r="Y40" s="1896" t="s">
        <v>537</v>
      </c>
      <c r="Z40" s="2565"/>
      <c r="AA40" s="1896" t="s">
        <v>538</v>
      </c>
      <c r="AB40" s="1896" t="s">
        <v>539</v>
      </c>
      <c r="AC40" s="1408" t="s">
        <v>444</v>
      </c>
      <c r="AD40" s="2451" t="s">
        <v>445</v>
      </c>
      <c r="AE40" s="2453"/>
      <c r="AF40" s="2497"/>
      <c r="AG40" s="2363"/>
      <c r="AH40" s="2565"/>
      <c r="AI40" s="1896" t="s">
        <v>536</v>
      </c>
      <c r="AJ40" s="1896" t="s">
        <v>537</v>
      </c>
      <c r="AK40" s="2565"/>
      <c r="AL40" s="1896" t="s">
        <v>538</v>
      </c>
      <c r="AM40" s="1896" t="s">
        <v>539</v>
      </c>
      <c r="AN40" s="1408" t="s">
        <v>444</v>
      </c>
      <c r="AO40" s="2451" t="s">
        <v>445</v>
      </c>
      <c r="AP40" s="2453"/>
      <c r="AQ40" s="2497"/>
      <c r="AR40" s="2500"/>
      <c r="AS40" s="2363"/>
      <c r="AY40" s="1074">
        <v>59</v>
      </c>
    </row>
    <row r="41" spans="1:51" s="2269"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108</v>
      </c>
      <c r="T41" s="1174" t="s">
        <v>109</v>
      </c>
      <c r="U41" s="1164" t="str">
        <f ca="1">OFFSET(U41,0,-1)</f>
        <v>2</v>
      </c>
      <c r="V41" s="1401">
        <f ca="1">OFFSET(V41,0,-1)+1</f>
        <v>3</v>
      </c>
      <c r="W41" s="1892"/>
      <c r="X41" s="1892"/>
      <c r="Y41" s="1892"/>
      <c r="Z41" s="1892"/>
      <c r="AA41" s="1892"/>
      <c r="AB41" s="1401">
        <f ca="1">OFFSET(AB41,0,-1)+1</f>
        <v>1</v>
      </c>
      <c r="AC41" s="1401">
        <f ca="1">OFFSET(AC41,0,-1)+1</f>
        <v>2</v>
      </c>
      <c r="AD41" s="2490">
        <f ca="1">OFFSET(AD41,0,-1)+1</f>
        <v>3</v>
      </c>
      <c r="AE41" s="2490"/>
      <c r="AF41" s="1401">
        <f ca="1">OFFSET(AF41,0,-2)+1</f>
        <v>4</v>
      </c>
      <c r="AG41" s="1401">
        <f ca="1">OFFSET(AG41,0,-1)+1</f>
        <v>5</v>
      </c>
      <c r="AH41" s="1892"/>
      <c r="AI41" s="1892"/>
      <c r="AJ41" s="1892"/>
      <c r="AK41" s="1892"/>
      <c r="AL41" s="1892"/>
      <c r="AM41" s="1401">
        <f ca="1">OFFSET(AM41,0,-1)+1</f>
        <v>1</v>
      </c>
      <c r="AN41" s="1401">
        <f ca="1">OFFSET(AN41,0,-1)+1</f>
        <v>2</v>
      </c>
      <c r="AO41" s="2490">
        <f ca="1">OFFSET(AO41,0,-1)+1</f>
        <v>3</v>
      </c>
      <c r="AP41" s="2490"/>
      <c r="AQ41" s="1401">
        <f ca="1">OFFSET(AQ41,0,-2)+1</f>
        <v>4</v>
      </c>
      <c r="AR41" s="1164">
        <f ca="1">OFFSET(AR41,0,-1)</f>
        <v>4</v>
      </c>
      <c r="AS41" s="1401">
        <f ca="1">OFFSET(AS41,0,-1)+1</f>
        <v>5</v>
      </c>
      <c r="AT41" s="448"/>
      <c r="AU41" s="448"/>
      <c r="AV41" s="448"/>
      <c r="AW41" s="448"/>
      <c r="AX41" s="448"/>
      <c r="AY41" s="433">
        <v>0</v>
      </c>
    </row>
    <row r="42" spans="1:51" ht="24" customHeight="1">
      <c r="A42" s="1282" t="s">
        <v>254</v>
      </c>
      <c r="B42" s="1282"/>
      <c r="C42" s="1282"/>
      <c r="D42" s="1282"/>
      <c r="E42" s="2483">
        <v>1</v>
      </c>
      <c r="F42" s="1282"/>
      <c r="G42" s="1282"/>
      <c r="H42" s="1282"/>
      <c r="I42" s="1282"/>
      <c r="J42" s="1282"/>
      <c r="K42" s="1282"/>
      <c r="L42" s="1283"/>
      <c r="M42" s="1284"/>
      <c r="N42" s="1284"/>
      <c r="O42" s="1284"/>
      <c r="P42" s="298"/>
      <c r="Q42" s="297"/>
      <c r="R42" s="292"/>
      <c r="S42" s="1412">
        <f>INDEX(PT_DIFFERENTIATION_NUM_NTAR,MATCH(A42,PT_DIFFERENTIATION_NTAR_ID,0))</f>
        <v>0</v>
      </c>
      <c r="T42" s="235" t="s">
        <v>123</v>
      </c>
      <c r="U42" s="237"/>
      <c r="V42" s="2469"/>
      <c r="W42" s="2470"/>
      <c r="X42" s="2470"/>
      <c r="Y42" s="2470"/>
      <c r="Z42" s="2470"/>
      <c r="AA42" s="2470"/>
      <c r="AB42" s="2470"/>
      <c r="AC42" s="2470"/>
      <c r="AD42" s="2470"/>
      <c r="AE42" s="2470"/>
      <c r="AF42" s="2471"/>
      <c r="AG42" s="2469" t="str">
        <f>INDEX(PT_DIFFERENTIATION_NTAR,MATCH(A42,PT_DIFFERENTIATION_NTAR_ID,0))</f>
        <v/>
      </c>
      <c r="AH42" s="2470"/>
      <c r="AI42" s="2470"/>
      <c r="AJ42" s="2470"/>
      <c r="AK42" s="2470"/>
      <c r="AL42" s="2470"/>
      <c r="AM42" s="2470"/>
      <c r="AN42" s="2470"/>
      <c r="AO42" s="2470"/>
      <c r="AP42" s="2470"/>
      <c r="AQ42" s="2470"/>
      <c r="AR42" s="2471"/>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74">
        <v>23</v>
      </c>
    </row>
    <row r="43" spans="1:51" ht="24" customHeight="1">
      <c r="A43" s="1282" t="s">
        <v>254</v>
      </c>
      <c r="B43" s="1282" t="s">
        <v>255</v>
      </c>
      <c r="C43" s="1282"/>
      <c r="D43" s="1282"/>
      <c r="E43" s="2484"/>
      <c r="F43" s="2483">
        <v>1</v>
      </c>
      <c r="G43" s="1282"/>
      <c r="H43" s="1282"/>
      <c r="I43" s="1282"/>
      <c r="J43" s="1282"/>
      <c r="K43" s="1282"/>
      <c r="L43" s="1283"/>
      <c r="M43" s="1284"/>
      <c r="N43" s="1284"/>
      <c r="O43" s="1284"/>
      <c r="P43" s="1406"/>
      <c r="Q43" s="289"/>
      <c r="R43" s="290"/>
      <c r="S43" s="1412" t="str">
        <f>INDEX(PT_DIFFERENTIATION_NUM_TER,MATCH(B43,PT_DIFFERENTIATION_TER_ID,0))</f>
        <v>.</v>
      </c>
      <c r="T43" s="245" t="s">
        <v>395</v>
      </c>
      <c r="U43" s="237"/>
      <c r="V43" s="2469"/>
      <c r="W43" s="2470"/>
      <c r="X43" s="2470"/>
      <c r="Y43" s="2470"/>
      <c r="Z43" s="2470"/>
      <c r="AA43" s="2470"/>
      <c r="AB43" s="2470"/>
      <c r="AC43" s="2470"/>
      <c r="AD43" s="2470"/>
      <c r="AE43" s="2470"/>
      <c r="AF43" s="2471"/>
      <c r="AG43" s="2469" t="str">
        <f>INDEX(PT_DIFFERENTIATION_TER,MATCH(B43,PT_DIFFERENTIATION_TER_ID,0))</f>
        <v/>
      </c>
      <c r="AH43" s="2470"/>
      <c r="AI43" s="2470"/>
      <c r="AJ43" s="2470"/>
      <c r="AK43" s="2470"/>
      <c r="AL43" s="2470"/>
      <c r="AM43" s="2470"/>
      <c r="AN43" s="2470"/>
      <c r="AO43" s="2470"/>
      <c r="AP43" s="2470"/>
      <c r="AQ43" s="2470"/>
      <c r="AR43" s="2471"/>
      <c r="AS43" s="1177" t="s">
        <v>396</v>
      </c>
      <c r="AU43" s="437"/>
      <c r="AV43" s="437" t="str">
        <f t="shared" si="1"/>
        <v>Территория действия тарифа</v>
      </c>
      <c r="AW43" s="437"/>
      <c r="AX43" s="437"/>
      <c r="AY43" s="1074">
        <v>23</v>
      </c>
    </row>
    <row r="44" spans="1:51" ht="24" customHeight="1">
      <c r="A44" s="1282" t="s">
        <v>254</v>
      </c>
      <c r="B44" s="1282" t="s">
        <v>255</v>
      </c>
      <c r="C44" s="1282" t="s">
        <v>256</v>
      </c>
      <c r="D44" s="1282"/>
      <c r="E44" s="2484"/>
      <c r="F44" s="2484"/>
      <c r="G44" s="2483">
        <v>1</v>
      </c>
      <c r="H44" s="1282"/>
      <c r="I44" s="1282"/>
      <c r="J44" s="1282"/>
      <c r="K44" s="1282"/>
      <c r="L44" s="1283"/>
      <c r="M44" s="1284"/>
      <c r="N44" s="1284"/>
      <c r="O44" s="1284"/>
      <c r="P44" s="291"/>
      <c r="Q44" s="289"/>
      <c r="R44" s="290"/>
      <c r="S44" s="1412" t="str">
        <f>INDEX(PT_DIFFERENTIATION_NUM_CS,MATCH(C44,PT_DIFFERENTIATION_CS_ID,0))</f>
        <v>..</v>
      </c>
      <c r="T44" s="246" t="s">
        <v>528</v>
      </c>
      <c r="U44" s="237"/>
      <c r="V44" s="2469"/>
      <c r="W44" s="2470"/>
      <c r="X44" s="2470"/>
      <c r="Y44" s="2470"/>
      <c r="Z44" s="2470"/>
      <c r="AA44" s="2470"/>
      <c r="AB44" s="2470"/>
      <c r="AC44" s="2470"/>
      <c r="AD44" s="2470"/>
      <c r="AE44" s="2470"/>
      <c r="AF44" s="2471"/>
      <c r="AG44" s="2469" t="str">
        <f>INDEX(PT_DIFFERENTIATION_CS,MATCH(C44,PT_DIFFERENTIATION_CS_ID,0))</f>
        <v/>
      </c>
      <c r="AH44" s="2470"/>
      <c r="AI44" s="2470"/>
      <c r="AJ44" s="2470"/>
      <c r="AK44" s="2470"/>
      <c r="AL44" s="2470"/>
      <c r="AM44" s="2470"/>
      <c r="AN44" s="2470"/>
      <c r="AO44" s="2470"/>
      <c r="AP44" s="2470"/>
      <c r="AQ44" s="2470"/>
      <c r="AR44" s="2471"/>
      <c r="AS44" s="1177" t="s">
        <v>529</v>
      </c>
      <c r="AU44" s="437"/>
      <c r="AV44" s="437" t="str">
        <f t="shared" si="1"/>
        <v>Наименование централизованной системы горячего водоснабжения</v>
      </c>
      <c r="AW44" s="437"/>
      <c r="AX44" s="437"/>
      <c r="AY44" s="1074">
        <v>23</v>
      </c>
    </row>
    <row r="45" spans="1:51" ht="24" customHeight="1">
      <c r="A45" s="1282" t="s">
        <v>254</v>
      </c>
      <c r="B45" s="1282" t="s">
        <v>255</v>
      </c>
      <c r="C45" s="1282" t="s">
        <v>256</v>
      </c>
      <c r="D45" s="1282" t="s">
        <v>541</v>
      </c>
      <c r="E45" s="2484"/>
      <c r="F45" s="2484"/>
      <c r="G45" s="2484"/>
      <c r="H45" s="2484"/>
      <c r="I45" s="2481" t="str">
        <f>S44&amp;".1"</f>
        <v>...1</v>
      </c>
      <c r="J45" s="1282"/>
      <c r="K45" s="1282"/>
      <c r="L45" s="1283"/>
      <c r="P45" s="2482">
        <v>1</v>
      </c>
      <c r="Q45" s="1400"/>
      <c r="R45" s="293"/>
      <c r="S45" s="1412" t="str">
        <f>$I45</f>
        <v>...1</v>
      </c>
      <c r="T45" s="222" t="s">
        <v>481</v>
      </c>
      <c r="U45" s="237"/>
      <c r="V45" s="2550"/>
      <c r="W45" s="2551"/>
      <c r="X45" s="2551"/>
      <c r="Y45" s="2551"/>
      <c r="Z45" s="2551"/>
      <c r="AA45" s="2551"/>
      <c r="AB45" s="2551"/>
      <c r="AC45" s="2551"/>
      <c r="AD45" s="2551"/>
      <c r="AE45" s="2551"/>
      <c r="AF45" s="2552"/>
      <c r="AG45" s="2553"/>
      <c r="AH45" s="2554"/>
      <c r="AI45" s="2554"/>
      <c r="AJ45" s="2554"/>
      <c r="AK45" s="2554"/>
      <c r="AL45" s="2554"/>
      <c r="AM45" s="2554"/>
      <c r="AN45" s="2554"/>
      <c r="AO45" s="2554"/>
      <c r="AP45" s="2554"/>
      <c r="AQ45" s="2554"/>
      <c r="AR45" s="2555"/>
      <c r="AS45" s="1177" t="s">
        <v>482</v>
      </c>
      <c r="AU45" s="437"/>
      <c r="AV45" s="437" t="str">
        <f t="shared" si="1"/>
        <v>Наименование признака дифференциации</v>
      </c>
      <c r="AW45" s="437"/>
      <c r="AX45" s="437"/>
      <c r="AY45" s="1074">
        <v>23</v>
      </c>
    </row>
    <row r="46" spans="1:51" ht="24" customHeight="1">
      <c r="A46" s="1282" t="s">
        <v>254</v>
      </c>
      <c r="B46" s="1282" t="s">
        <v>255</v>
      </c>
      <c r="C46" s="1282" t="s">
        <v>256</v>
      </c>
      <c r="D46" s="1282" t="s">
        <v>541</v>
      </c>
      <c r="E46" s="2484"/>
      <c r="F46" s="2484"/>
      <c r="G46" s="2484"/>
      <c r="H46" s="2484"/>
      <c r="I46" s="2504"/>
      <c r="J46" s="2481" t="str">
        <f>I45&amp;".1"</f>
        <v>...1.1</v>
      </c>
      <c r="K46" s="1282"/>
      <c r="L46" s="1283" t="s">
        <v>404</v>
      </c>
      <c r="P46" s="2482"/>
      <c r="Q46" s="2482">
        <v>1</v>
      </c>
      <c r="R46" s="294"/>
      <c r="S46" s="1412" t="str">
        <f>$J46</f>
        <v>...1.1</v>
      </c>
      <c r="T46" s="223" t="s">
        <v>405</v>
      </c>
      <c r="U46" s="237"/>
      <c r="V46" s="2472"/>
      <c r="W46" s="2473"/>
      <c r="X46" s="2473"/>
      <c r="Y46" s="2473"/>
      <c r="Z46" s="2473"/>
      <c r="AA46" s="2473"/>
      <c r="AB46" s="2473"/>
      <c r="AC46" s="2473"/>
      <c r="AD46" s="2473"/>
      <c r="AE46" s="2473"/>
      <c r="AF46" s="2474"/>
      <c r="AG46" s="2472"/>
      <c r="AH46" s="2473"/>
      <c r="AI46" s="2473"/>
      <c r="AJ46" s="2473"/>
      <c r="AK46" s="2473"/>
      <c r="AL46" s="2473"/>
      <c r="AM46" s="2473"/>
      <c r="AN46" s="2473"/>
      <c r="AO46" s="2473"/>
      <c r="AP46" s="2473"/>
      <c r="AQ46" s="2473"/>
      <c r="AR46" s="2474"/>
      <c r="AS46" s="1226" t="s">
        <v>483</v>
      </c>
      <c r="AU46" s="437"/>
      <c r="AV46" s="437" t="str">
        <f t="shared" si="1"/>
        <v>Группа потребителей</v>
      </c>
      <c r="AW46" s="437"/>
      <c r="AX46" s="437"/>
      <c r="AY46" s="1074">
        <v>23</v>
      </c>
    </row>
    <row r="47" spans="1:51" ht="24" customHeight="1">
      <c r="A47" s="1282" t="s">
        <v>254</v>
      </c>
      <c r="B47" s="1282" t="s">
        <v>255</v>
      </c>
      <c r="C47" s="1282" t="s">
        <v>256</v>
      </c>
      <c r="D47" s="1282" t="s">
        <v>541</v>
      </c>
      <c r="E47" s="2484"/>
      <c r="F47" s="2484"/>
      <c r="G47" s="2484"/>
      <c r="H47" s="2484"/>
      <c r="I47" s="2504"/>
      <c r="J47" s="2504"/>
      <c r="K47" s="2481" t="str">
        <f>J46&amp;".1"</f>
        <v>...1.1.1</v>
      </c>
      <c r="L47" s="1283"/>
      <c r="P47" s="2482"/>
      <c r="Q47" s="2482"/>
      <c r="R47" s="294">
        <v>1</v>
      </c>
      <c r="S47" s="1412" t="str">
        <f>$K47</f>
        <v>...1.1.1</v>
      </c>
      <c r="T47" s="1356"/>
      <c r="U47" s="237"/>
      <c r="V47" s="1279"/>
      <c r="W47" s="1279"/>
      <c r="X47" s="1279"/>
      <c r="Y47" s="1279"/>
      <c r="Z47" s="1279"/>
      <c r="AA47" s="1279"/>
      <c r="AB47" s="1280"/>
      <c r="AC47" s="2488"/>
      <c r="AD47" s="2489" t="s">
        <v>64</v>
      </c>
      <c r="AE47" s="2488"/>
      <c r="AF47" s="2489" t="s">
        <v>64</v>
      </c>
      <c r="AG47" s="688"/>
      <c r="AH47" s="688"/>
      <c r="AI47" s="688"/>
      <c r="AJ47" s="688"/>
      <c r="AK47" s="688"/>
      <c r="AL47" s="688"/>
      <c r="AM47" s="1176"/>
      <c r="AN47" s="2486"/>
      <c r="AO47" s="2344" t="s">
        <v>64</v>
      </c>
      <c r="AP47" s="2505"/>
      <c r="AQ47" s="2344" t="s">
        <v>19</v>
      </c>
      <c r="AR47" s="1357"/>
      <c r="AS47" s="25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74">
        <v>23</v>
      </c>
    </row>
    <row r="48" spans="1:51" ht="0" hidden="1" customHeight="1">
      <c r="A48" s="1282" t="s">
        <v>254</v>
      </c>
      <c r="B48" s="1282" t="s">
        <v>255</v>
      </c>
      <c r="C48" s="1282" t="s">
        <v>256</v>
      </c>
      <c r="D48" s="1282" t="s">
        <v>541</v>
      </c>
      <c r="E48" s="2484"/>
      <c r="F48" s="2484"/>
      <c r="G48" s="2484"/>
      <c r="H48" s="2484"/>
      <c r="I48" s="2504"/>
      <c r="J48" s="2504"/>
      <c r="K48" s="2481"/>
      <c r="L48" s="1283"/>
      <c r="P48" s="2482"/>
      <c r="Q48" s="2482"/>
      <c r="R48" s="294"/>
      <c r="S48" s="1409"/>
      <c r="T48" s="237"/>
      <c r="U48" s="237"/>
      <c r="V48" s="1279"/>
      <c r="W48" s="1279"/>
      <c r="X48" s="1279"/>
      <c r="Y48" s="1279"/>
      <c r="Z48" s="1279"/>
      <c r="AA48" s="1279"/>
      <c r="AB48" s="265" t="str">
        <f>AC47&amp;"-"&amp;AE47</f>
        <v>-</v>
      </c>
      <c r="AC48" s="2489"/>
      <c r="AD48" s="2489"/>
      <c r="AE48" s="2489"/>
      <c r="AF48" s="2489"/>
      <c r="AG48" s="262"/>
      <c r="AH48" s="262"/>
      <c r="AI48" s="262"/>
      <c r="AJ48" s="262"/>
      <c r="AK48" s="262"/>
      <c r="AL48" s="262"/>
      <c r="AM48" s="265" t="str">
        <f>AN47&amp;"-"&amp;AP47</f>
        <v>-</v>
      </c>
      <c r="AN48" s="2487"/>
      <c r="AO48" s="2344"/>
      <c r="AP48" s="2506"/>
      <c r="AQ48" s="2344"/>
      <c r="AR48" s="1358"/>
      <c r="AS48" s="2549"/>
      <c r="AU48" s="437"/>
      <c r="AV48" s="437" t="str">
        <f t="shared" si="1"/>
        <v/>
      </c>
      <c r="AW48" s="437"/>
      <c r="AX48" s="437"/>
      <c r="AY48" s="1074">
        <v>0</v>
      </c>
    </row>
    <row r="49" spans="1:51" ht="21" customHeight="1">
      <c r="A49" s="1282" t="s">
        <v>254</v>
      </c>
      <c r="B49" s="1282" t="s">
        <v>255</v>
      </c>
      <c r="C49" s="1282" t="s">
        <v>256</v>
      </c>
      <c r="D49" s="1282" t="s">
        <v>541</v>
      </c>
      <c r="E49" s="2484"/>
      <c r="F49" s="2484"/>
      <c r="G49" s="2484"/>
      <c r="H49" s="2484"/>
      <c r="I49" s="2504"/>
      <c r="J49" s="2481"/>
      <c r="K49" s="1282"/>
      <c r="L49" s="1283"/>
      <c r="P49" s="2482"/>
      <c r="Q49" s="2482"/>
      <c r="R49" s="293"/>
      <c r="S49" s="1197"/>
      <c r="T49" s="224" t="s">
        <v>484</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77" t="s">
        <v>485</v>
      </c>
      <c r="AU49" s="437"/>
      <c r="AV49" s="437" t="str">
        <f t="shared" si="1"/>
        <v>Добавить значение признака дифференциации</v>
      </c>
      <c r="AW49" s="437"/>
      <c r="AX49" s="437"/>
      <c r="AY49" s="1074">
        <v>20</v>
      </c>
    </row>
    <row r="50" spans="1:51" ht="21.95" customHeight="1">
      <c r="A50" s="1282" t="s">
        <v>254</v>
      </c>
      <c r="B50" s="1282" t="s">
        <v>255</v>
      </c>
      <c r="C50" s="1282" t="s">
        <v>256</v>
      </c>
      <c r="D50" s="1282" t="s">
        <v>541</v>
      </c>
      <c r="E50" s="2484"/>
      <c r="F50" s="2484"/>
      <c r="G50" s="2484"/>
      <c r="H50" s="2484"/>
      <c r="I50" s="2481"/>
      <c r="J50" s="1282"/>
      <c r="K50" s="1282"/>
      <c r="L50" s="1283"/>
      <c r="P50" s="2482"/>
      <c r="Q50" s="1400"/>
      <c r="R50" s="293"/>
      <c r="S50" s="1197"/>
      <c r="T50" s="302" t="s">
        <v>410</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59"/>
      <c r="AU50" s="437"/>
      <c r="AV50" s="437" t="str">
        <f t="shared" si="1"/>
        <v>Добавить группу потребителей</v>
      </c>
      <c r="AW50" s="437"/>
      <c r="AX50" s="437"/>
      <c r="AY50" s="1074">
        <v>21</v>
      </c>
    </row>
    <row r="51" spans="1:51" ht="21.95" customHeight="1">
      <c r="A51" s="1282" t="s">
        <v>254</v>
      </c>
      <c r="B51" s="1282" t="s">
        <v>255</v>
      </c>
      <c r="C51" s="1282" t="s">
        <v>256</v>
      </c>
      <c r="D51" s="1282" t="s">
        <v>541</v>
      </c>
      <c r="E51" s="2484"/>
      <c r="F51" s="2484"/>
      <c r="G51" s="2484"/>
      <c r="H51" s="2483"/>
      <c r="I51" s="1282"/>
      <c r="J51" s="1282"/>
      <c r="K51" s="1282"/>
      <c r="L51" s="1283"/>
      <c r="M51" s="1284"/>
      <c r="N51" s="1284"/>
      <c r="O51" s="474"/>
      <c r="P51" s="297"/>
      <c r="Q51" s="312"/>
      <c r="R51" s="292"/>
      <c r="S51" s="1197"/>
      <c r="T51" s="309" t="s">
        <v>486</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74">
        <v>21</v>
      </c>
    </row>
    <row r="52" spans="1:51" s="2245" customFormat="1" ht="0" hidden="1" customHeight="1">
      <c r="A52" s="1262" t="s">
        <v>254</v>
      </c>
      <c r="B52" s="1262" t="s">
        <v>255</v>
      </c>
      <c r="C52" s="1233"/>
      <c r="D52" s="1233"/>
      <c r="E52" s="2484"/>
      <c r="F52" s="2483"/>
      <c r="G52" s="1233"/>
      <c r="H52" s="1233"/>
      <c r="I52" s="1233"/>
      <c r="J52" s="1233"/>
      <c r="K52" s="1233"/>
      <c r="L52" s="1413"/>
      <c r="M52" s="1240"/>
      <c r="N52" s="1240"/>
      <c r="P52" s="1235"/>
      <c r="Q52" s="1236"/>
      <c r="R52" s="1235"/>
      <c r="S52" s="1241"/>
      <c r="T52" s="1244" t="s">
        <v>413</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20"/>
      <c r="AV52" s="720" t="str">
        <f t="shared" si="1"/>
        <v>Добавить централизованную систему для дифференциации</v>
      </c>
      <c r="AW52" s="720"/>
      <c r="AX52" s="720"/>
      <c r="AY52" s="455">
        <v>0</v>
      </c>
    </row>
    <row r="53" spans="1:51" s="2245" customFormat="1" ht="0" hidden="1" customHeight="1">
      <c r="A53" s="1262" t="s">
        <v>254</v>
      </c>
      <c r="B53" s="1262"/>
      <c r="C53" s="1262"/>
      <c r="D53" s="1262"/>
      <c r="E53" s="2483"/>
      <c r="F53" s="1262"/>
      <c r="G53" s="1262"/>
      <c r="H53" s="1262"/>
      <c r="I53" s="1262"/>
      <c r="J53" s="1262"/>
      <c r="K53" s="1262"/>
      <c r="L53" s="1265"/>
      <c r="M53" s="1240"/>
      <c r="N53" s="1240"/>
      <c r="O53" s="455"/>
      <c r="P53" s="317"/>
      <c r="Q53" s="1263"/>
      <c r="R53" s="317"/>
      <c r="S53" s="1241"/>
      <c r="T53" s="1244" t="s">
        <v>414</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7"/>
      <c r="AV53" s="437" t="str">
        <f t="shared" si="1"/>
        <v>Добавить территорию для дифференциации</v>
      </c>
      <c r="AW53" s="437"/>
      <c r="AX53" s="437"/>
      <c r="AY53" s="448">
        <v>0</v>
      </c>
    </row>
    <row r="54" spans="1:51" s="2245"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446</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20"/>
      <c r="AV54" s="720" t="str">
        <f t="shared" si="1"/>
        <v>Добавить наименование тарифа</v>
      </c>
      <c r="AW54" s="720"/>
      <c r="AX54" s="720"/>
      <c r="AY54" s="455">
        <v>0</v>
      </c>
    </row>
    <row r="55" spans="1:51" ht="11.45" customHeight="1">
      <c r="M55" s="1079"/>
      <c r="N55" s="1079"/>
      <c r="O55" s="474"/>
      <c r="P55" s="1074"/>
      <c r="Q55" s="1074"/>
      <c r="R55" s="1074"/>
      <c r="S55" s="1074"/>
      <c r="AT55" s="1074"/>
      <c r="AU55" s="1074"/>
      <c r="AV55" s="1074"/>
      <c r="AW55" s="1074"/>
      <c r="AX55" s="1074"/>
      <c r="AY55" s="1074">
        <v>11</v>
      </c>
    </row>
    <row r="56" spans="1:51" ht="14.65" customHeight="1">
      <c r="O56" s="474"/>
      <c r="S56" s="1172"/>
      <c r="T56" s="2503"/>
      <c r="U56" s="2503"/>
      <c r="V56" s="2503"/>
      <c r="W56" s="2503"/>
      <c r="X56" s="2503"/>
      <c r="Y56" s="2503"/>
      <c r="Z56" s="2503"/>
      <c r="AA56" s="2503"/>
      <c r="AB56" s="2503"/>
      <c r="AC56" s="2503"/>
      <c r="AD56" s="2503"/>
      <c r="AE56" s="2503"/>
      <c r="AF56" s="2503"/>
      <c r="AG56" s="2503"/>
      <c r="AH56" s="2503"/>
      <c r="AI56" s="2503"/>
      <c r="AJ56" s="2503"/>
      <c r="AK56" s="2503"/>
      <c r="AL56" s="2503"/>
      <c r="AM56" s="2503"/>
      <c r="AN56" s="2503"/>
      <c r="AO56" s="2503"/>
      <c r="AP56" s="2503"/>
      <c r="AQ56" s="2503"/>
      <c r="AR56" s="2503"/>
      <c r="AS56" s="2503"/>
      <c r="AY56" s="1074">
        <v>14</v>
      </c>
    </row>
    <row r="57" spans="1:51" ht="14.65" customHeight="1">
      <c r="O57" s="474"/>
      <c r="AY57" s="1074">
        <v>14</v>
      </c>
    </row>
    <row r="58" spans="1:51" ht="14.65" customHeight="1">
      <c r="O58" s="474"/>
      <c r="S58" s="1172"/>
      <c r="T58" s="2503"/>
      <c r="U58" s="2503"/>
      <c r="V58" s="2503"/>
      <c r="W58" s="2503"/>
      <c r="X58" s="2503"/>
      <c r="Y58" s="2503"/>
      <c r="Z58" s="2503"/>
      <c r="AA58" s="2503"/>
      <c r="AB58" s="2503"/>
      <c r="AC58" s="2503"/>
      <c r="AD58" s="2503"/>
      <c r="AE58" s="2503"/>
      <c r="AF58" s="2503"/>
      <c r="AG58" s="2503"/>
      <c r="AH58" s="2503"/>
      <c r="AI58" s="2503"/>
      <c r="AJ58" s="2503"/>
      <c r="AK58" s="2503"/>
      <c r="AL58" s="2503"/>
      <c r="AM58" s="2503"/>
      <c r="AN58" s="2503"/>
      <c r="AO58" s="2503"/>
      <c r="AP58" s="2503"/>
      <c r="AQ58" s="2503"/>
      <c r="AR58" s="2503"/>
      <c r="AS58" s="2503"/>
      <c r="AY58" s="1074">
        <v>14</v>
      </c>
    </row>
    <row r="59" spans="1:51" ht="22.5" hidden="1" customHeight="1">
      <c r="A59" s="1079" t="s">
        <v>81</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8">
        <v>12</v>
      </c>
      <c r="T59" s="1074">
        <v>35</v>
      </c>
      <c r="U59" s="1074">
        <v>0</v>
      </c>
      <c r="V59" s="1074">
        <v>0</v>
      </c>
      <c r="W59" s="1550">
        <v>0</v>
      </c>
      <c r="X59" s="1550">
        <v>0</v>
      </c>
      <c r="Y59" s="1550">
        <v>0</v>
      </c>
      <c r="Z59" s="1550">
        <v>0</v>
      </c>
      <c r="AA59" s="1550">
        <v>0</v>
      </c>
      <c r="AB59" s="1074">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8">
        <v>10</v>
      </c>
      <c r="AU59" s="448">
        <v>10</v>
      </c>
      <c r="AV59" s="448">
        <v>10</v>
      </c>
      <c r="AW59" s="448">
        <v>10</v>
      </c>
      <c r="AX59" s="448">
        <v>10</v>
      </c>
      <c r="AY59" s="1074">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244" hidden="1" customWidth="1"/>
    <col min="2" max="2" width="11" style="2244" hidden="1" customWidth="1"/>
    <col min="3" max="3" width="10.5703125" style="2244" hidden="1"/>
    <col min="4" max="4" width="12.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2" style="2244" hidden="1" customWidth="1"/>
    <col min="10" max="10" width="9.85546875" style="2244" hidden="1" customWidth="1"/>
    <col min="11" max="11" width="11.42578125" style="2244" hidden="1" customWidth="1"/>
    <col min="12" max="12" width="19.140625" style="2270" hidden="1" customWidth="1"/>
    <col min="13" max="14" width="12.28515625" style="2271" hidden="1" customWidth="1"/>
    <col min="15" max="15" width="23.42578125" style="2271" hidden="1" customWidth="1"/>
    <col min="16" max="16" width="3.7109375" style="2271" hidden="1" customWidth="1"/>
    <col min="17" max="17" width="3.7109375" style="2276" hidden="1" customWidth="1"/>
    <col min="18" max="18" width="3" style="2273" customWidth="1"/>
    <col min="19" max="19" width="12" style="2274" customWidth="1"/>
    <col min="20" max="20" width="31" style="2238" customWidth="1"/>
    <col min="21" max="21" width="0.140625" style="2238" customWidth="1"/>
    <col min="22" max="25" width="21.7109375" style="2238" hidden="1" customWidth="1"/>
    <col min="26" max="26" width="11.7109375" style="2238" hidden="1" customWidth="1"/>
    <col min="27" max="27" width="3.7109375" style="2238" hidden="1" customWidth="1"/>
    <col min="28" max="28" width="11.7109375" style="2238" hidden="1" customWidth="1"/>
    <col min="29" max="29" width="8.5703125" style="2238" hidden="1" customWidth="1"/>
    <col min="30" max="30" width="3.7109375" style="2238" customWidth="1"/>
    <col min="31" max="32" width="3" style="2238" customWidth="1"/>
    <col min="33" max="33" width="24" style="2238" customWidth="1"/>
    <col min="34" max="34" width="3.7109375" style="2238" customWidth="1"/>
    <col min="35" max="36" width="3" style="2238" customWidth="1"/>
    <col min="37" max="37" width="24" style="2238" customWidth="1"/>
    <col min="38" max="38" width="3.7109375" style="2238" customWidth="1"/>
    <col min="39" max="40" width="3" style="2238" customWidth="1"/>
    <col min="41" max="41" width="18" style="2238" customWidth="1"/>
    <col min="42" max="42" width="3.7109375" style="2238" customWidth="1"/>
    <col min="43" max="44" width="3" style="2238" customWidth="1"/>
    <col min="45" max="45" width="18" style="2238" customWidth="1"/>
    <col min="46" max="49" width="21" style="2238" customWidth="1"/>
    <col min="50" max="50" width="11" style="2238" customWidth="1"/>
    <col min="51" max="51" width="3.7109375" style="2238" customWidth="1"/>
    <col min="52" max="52" width="11" style="2238" customWidth="1"/>
    <col min="53" max="53" width="8.5703125" style="2238" hidden="1" customWidth="1"/>
    <col min="54" max="54" width="4" style="2238" customWidth="1"/>
    <col min="55" max="55" width="115" style="2238" customWidth="1"/>
    <col min="56" max="60" width="10" style="2245" customWidth="1"/>
    <col min="61" max="61" width="10.5703125" style="2238" hidden="1"/>
  </cols>
  <sheetData>
    <row r="1" spans="1:61" ht="22.5" hidden="1" customHeight="1">
      <c r="W1" s="264"/>
      <c r="Y1" s="264"/>
      <c r="Z1" s="264"/>
      <c r="AW1" s="264"/>
      <c r="AX1" s="264"/>
      <c r="BI1" s="1074" t="s">
        <v>14</v>
      </c>
    </row>
    <row r="2" spans="1:61" ht="21" hidden="1" customHeight="1">
      <c r="A2" s="1282"/>
      <c r="B2" s="1282"/>
      <c r="C2" s="1282"/>
      <c r="D2" s="1282"/>
      <c r="E2" s="2483">
        <v>1</v>
      </c>
      <c r="F2" s="1282"/>
      <c r="G2" s="1282"/>
      <c r="H2" s="1282"/>
      <c r="I2" s="1282"/>
      <c r="J2" s="1282"/>
      <c r="K2" s="1282"/>
      <c r="L2" s="1283"/>
      <c r="M2" s="1284"/>
      <c r="N2" s="1284"/>
      <c r="O2" s="1284"/>
      <c r="P2" s="1328"/>
      <c r="Q2" s="800"/>
      <c r="R2" s="292"/>
      <c r="S2" s="1412" t="e">
        <f>INDEX(PT_DIFFERENTIATION_NUM_NTAR,MATCH(A2,PT_DIFFERENTIATION_NTAR_ID,0))</f>
        <v>#N/A</v>
      </c>
      <c r="T2" s="235" t="s">
        <v>123</v>
      </c>
      <c r="U2" s="237"/>
      <c r="V2" s="2470"/>
      <c r="W2" s="2470"/>
      <c r="X2" s="2470"/>
      <c r="Y2" s="2470"/>
      <c r="Z2" s="2470"/>
      <c r="AA2" s="2470"/>
      <c r="AB2" s="2470"/>
      <c r="AC2" s="2471"/>
      <c r="AD2" s="2469" t="e">
        <f>INDEX(PT_DIFFERENTIATION_NTAR,MATCH(A2,PT_DIFFERENTIATION_NTAR_ID,0))</f>
        <v>#N/A</v>
      </c>
      <c r="AE2" s="2470"/>
      <c r="AF2" s="2470"/>
      <c r="AG2" s="2470"/>
      <c r="AH2" s="2470"/>
      <c r="AI2" s="2470"/>
      <c r="AJ2" s="2470"/>
      <c r="AK2" s="2470"/>
      <c r="AL2" s="2470"/>
      <c r="AM2" s="2470"/>
      <c r="AN2" s="2470"/>
      <c r="AO2" s="2470"/>
      <c r="AP2" s="2470"/>
      <c r="AQ2" s="2470"/>
      <c r="AR2" s="2470"/>
      <c r="AS2" s="2470"/>
      <c r="AT2" s="2470"/>
      <c r="AU2" s="2470"/>
      <c r="AV2" s="2470"/>
      <c r="AW2" s="2470"/>
      <c r="AX2" s="2470"/>
      <c r="AY2" s="2470"/>
      <c r="AZ2" s="2470"/>
      <c r="BA2" s="2470"/>
      <c r="BB2" s="2471"/>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74">
        <v>0</v>
      </c>
    </row>
    <row r="3" spans="1:61" ht="21" hidden="1" customHeight="1">
      <c r="A3" s="1282"/>
      <c r="B3" s="1282"/>
      <c r="C3" s="1282"/>
      <c r="D3" s="1282"/>
      <c r="E3" s="2484"/>
      <c r="F3" s="2483">
        <v>1</v>
      </c>
      <c r="G3" s="1282"/>
      <c r="H3" s="1282"/>
      <c r="I3" s="1282"/>
      <c r="J3" s="1282"/>
      <c r="K3" s="1282"/>
      <c r="L3" s="1283"/>
      <c r="M3" s="1284"/>
      <c r="N3" s="1284"/>
      <c r="O3" s="1284"/>
      <c r="P3" s="1329"/>
      <c r="Q3" s="1330"/>
      <c r="R3" s="290"/>
      <c r="S3" s="1412" t="e">
        <f>INDEX(PT_DIFFERENTIATION_NUM_TER,MATCH(B3,PT_DIFFERENTIATION_TER_ID,0))</f>
        <v>#N/A</v>
      </c>
      <c r="T3" s="245" t="s">
        <v>395</v>
      </c>
      <c r="U3" s="237"/>
      <c r="V3" s="2470"/>
      <c r="W3" s="2470"/>
      <c r="X3" s="2470"/>
      <c r="Y3" s="2470"/>
      <c r="Z3" s="2470"/>
      <c r="AA3" s="2470"/>
      <c r="AB3" s="2470"/>
      <c r="AC3" s="2471"/>
      <c r="AD3" s="2469" t="e">
        <f>INDEX(PT_DIFFERENTIATION_TER,MATCH(B3,PT_DIFFERENTIATION_TER_ID,0))</f>
        <v>#N/A</v>
      </c>
      <c r="AE3" s="2470"/>
      <c r="AF3" s="2470"/>
      <c r="AG3" s="2470"/>
      <c r="AH3" s="2470"/>
      <c r="AI3" s="2470"/>
      <c r="AJ3" s="2470"/>
      <c r="AK3" s="2470"/>
      <c r="AL3" s="2470"/>
      <c r="AM3" s="2470"/>
      <c r="AN3" s="2470"/>
      <c r="AO3" s="2470"/>
      <c r="AP3" s="2470"/>
      <c r="AQ3" s="2470"/>
      <c r="AR3" s="2470"/>
      <c r="AS3" s="2470"/>
      <c r="AT3" s="2470"/>
      <c r="AU3" s="2470"/>
      <c r="AV3" s="2470"/>
      <c r="AW3" s="2470"/>
      <c r="AX3" s="2470"/>
      <c r="AY3" s="2470"/>
      <c r="AZ3" s="2470"/>
      <c r="BA3" s="2470"/>
      <c r="BB3" s="2471"/>
      <c r="BC3" s="1177" t="s">
        <v>396</v>
      </c>
      <c r="BE3" s="437"/>
      <c r="BF3" s="437" t="str">
        <f t="shared" si="0"/>
        <v>Территория действия тарифа</v>
      </c>
      <c r="BG3" s="437"/>
      <c r="BH3" s="437"/>
      <c r="BI3" s="1074">
        <v>0</v>
      </c>
    </row>
    <row r="4" spans="1:61" ht="33.75" hidden="1" customHeight="1">
      <c r="A4" s="1282"/>
      <c r="B4" s="1282"/>
      <c r="C4" s="1282"/>
      <c r="D4" s="1282"/>
      <c r="E4" s="2484"/>
      <c r="F4" s="2484"/>
      <c r="G4" s="2483">
        <v>1</v>
      </c>
      <c r="H4" s="1282"/>
      <c r="I4" s="1282"/>
      <c r="J4" s="1282"/>
      <c r="K4" s="1282"/>
      <c r="L4" s="1283"/>
      <c r="M4" s="1284"/>
      <c r="N4" s="1284"/>
      <c r="O4" s="1284"/>
      <c r="P4" s="1331"/>
      <c r="Q4" s="1330"/>
      <c r="R4" s="290"/>
      <c r="S4" s="1412" t="e">
        <f>INDEX(PT_DIFFERENTIATION_NUM_CS,MATCH(C4,PT_DIFFERENTIATION_CS_ID,0))</f>
        <v>#N/A</v>
      </c>
      <c r="T4" s="246" t="s">
        <v>528</v>
      </c>
      <c r="U4" s="237"/>
      <c r="V4" s="2470"/>
      <c r="W4" s="2470"/>
      <c r="X4" s="2470"/>
      <c r="Y4" s="2470"/>
      <c r="Z4" s="2470"/>
      <c r="AA4" s="2470"/>
      <c r="AB4" s="2470"/>
      <c r="AC4" s="2471"/>
      <c r="AD4" s="2469" t="e">
        <f>INDEX(PT_DIFFERENTIATION_CS,MATCH(C4,PT_DIFFERENTIATION_CS_ID,0))</f>
        <v>#N/A</v>
      </c>
      <c r="AE4" s="2470"/>
      <c r="AF4" s="2470"/>
      <c r="AG4" s="2470"/>
      <c r="AH4" s="2470"/>
      <c r="AI4" s="2470"/>
      <c r="AJ4" s="2470"/>
      <c r="AK4" s="2470"/>
      <c r="AL4" s="2470"/>
      <c r="AM4" s="2470"/>
      <c r="AN4" s="2470"/>
      <c r="AO4" s="2470"/>
      <c r="AP4" s="2470"/>
      <c r="AQ4" s="2470"/>
      <c r="AR4" s="2470"/>
      <c r="AS4" s="2470"/>
      <c r="AT4" s="2470"/>
      <c r="AU4" s="2470"/>
      <c r="AV4" s="2470"/>
      <c r="AW4" s="2470"/>
      <c r="AX4" s="2470"/>
      <c r="AY4" s="2470"/>
      <c r="AZ4" s="2470"/>
      <c r="BA4" s="2470"/>
      <c r="BB4" s="2471"/>
      <c r="BC4" s="1177" t="s">
        <v>529</v>
      </c>
      <c r="BE4" s="437"/>
      <c r="BF4" s="437" t="str">
        <f t="shared" si="0"/>
        <v>Наименование централизованной системы горячего водоснабжения</v>
      </c>
      <c r="BG4" s="437"/>
      <c r="BH4" s="437"/>
      <c r="BI4" s="1074">
        <v>0</v>
      </c>
    </row>
    <row r="5" spans="1:61" s="2245" customFormat="1" ht="14.25" hidden="1" customHeight="1">
      <c r="A5" s="1262"/>
      <c r="B5" s="1262"/>
      <c r="C5" s="1262"/>
      <c r="D5" s="1262"/>
      <c r="E5" s="2484"/>
      <c r="F5" s="2484"/>
      <c r="G5" s="2484"/>
      <c r="H5" s="2483">
        <v>1</v>
      </c>
      <c r="I5" s="1262"/>
      <c r="J5" s="1262"/>
      <c r="K5" s="1262"/>
      <c r="L5" s="1265"/>
      <c r="M5" s="1234"/>
      <c r="N5" s="1234"/>
      <c r="O5" s="1234"/>
      <c r="P5" s="1416"/>
      <c r="Q5" s="1417"/>
      <c r="R5" s="294"/>
      <c r="S5" s="966"/>
      <c r="T5" s="1418"/>
      <c r="U5" s="1303"/>
      <c r="V5" s="2513"/>
      <c r="W5" s="2513"/>
      <c r="X5" s="2513"/>
      <c r="Y5" s="2513"/>
      <c r="Z5" s="2513"/>
      <c r="AA5" s="2513"/>
      <c r="AB5" s="2513"/>
      <c r="AC5" s="2514"/>
      <c r="AD5" s="2512"/>
      <c r="AE5" s="2513"/>
      <c r="AF5" s="2513"/>
      <c r="AG5" s="2513"/>
      <c r="AH5" s="2513"/>
      <c r="AI5" s="2513"/>
      <c r="AJ5" s="2513"/>
      <c r="AK5" s="2513"/>
      <c r="AL5" s="2513"/>
      <c r="AM5" s="2513"/>
      <c r="AN5" s="2513"/>
      <c r="AO5" s="2513"/>
      <c r="AP5" s="2513"/>
      <c r="AQ5" s="2513"/>
      <c r="AR5" s="2513"/>
      <c r="AS5" s="2513"/>
      <c r="AT5" s="2513"/>
      <c r="AU5" s="2513"/>
      <c r="AV5" s="2513"/>
      <c r="AW5" s="2513"/>
      <c r="AX5" s="2513"/>
      <c r="AY5" s="2513"/>
      <c r="AZ5" s="2513"/>
      <c r="BA5" s="2513"/>
      <c r="BB5" s="2514"/>
      <c r="BC5" s="1304" t="s">
        <v>400</v>
      </c>
      <c r="BE5" s="437"/>
      <c r="BF5" s="437" t="str">
        <f t="shared" si="0"/>
        <v/>
      </c>
      <c r="BG5" s="437"/>
      <c r="BH5" s="437"/>
      <c r="BI5" s="448">
        <v>0</v>
      </c>
    </row>
    <row r="6" spans="1:61" s="2245" customFormat="1" ht="14.25" hidden="1" customHeight="1">
      <c r="A6" s="1262"/>
      <c r="B6" s="1262"/>
      <c r="C6" s="1262"/>
      <c r="D6" s="1262"/>
      <c r="E6" s="2484"/>
      <c r="F6" s="2484"/>
      <c r="G6" s="2484"/>
      <c r="H6" s="2484"/>
      <c r="I6" s="2481" t="str">
        <f>S5&amp;".1"</f>
        <v>.1</v>
      </c>
      <c r="J6" s="1262"/>
      <c r="K6" s="1262"/>
      <c r="L6" s="1265" t="s">
        <v>401</v>
      </c>
      <c r="M6" s="447"/>
      <c r="N6" s="447"/>
      <c r="O6" s="447"/>
      <c r="P6" s="2482">
        <v>1</v>
      </c>
      <c r="Q6" s="1400"/>
      <c r="R6" s="293"/>
      <c r="S6" s="966"/>
      <c r="T6" s="1302"/>
      <c r="U6" s="1303"/>
      <c r="V6" s="2513"/>
      <c r="W6" s="2513"/>
      <c r="X6" s="2513"/>
      <c r="Y6" s="2513"/>
      <c r="Z6" s="2513"/>
      <c r="AA6" s="2513"/>
      <c r="AB6" s="2513"/>
      <c r="AC6" s="2514"/>
      <c r="AD6" s="2512"/>
      <c r="AE6" s="2513"/>
      <c r="AF6" s="2513"/>
      <c r="AG6" s="2513"/>
      <c r="AH6" s="2513"/>
      <c r="AI6" s="2513"/>
      <c r="AJ6" s="2513"/>
      <c r="AK6" s="2513"/>
      <c r="AL6" s="2513"/>
      <c r="AM6" s="2513"/>
      <c r="AN6" s="2513"/>
      <c r="AO6" s="2513"/>
      <c r="AP6" s="2513"/>
      <c r="AQ6" s="2513"/>
      <c r="AR6" s="2513"/>
      <c r="AS6" s="2513"/>
      <c r="AT6" s="2513"/>
      <c r="AU6" s="2513"/>
      <c r="AV6" s="2513"/>
      <c r="AW6" s="2513"/>
      <c r="AX6" s="2513"/>
      <c r="AY6" s="2513"/>
      <c r="AZ6" s="2513"/>
      <c r="BA6" s="2513"/>
      <c r="BB6" s="2514"/>
      <c r="BC6" s="1304"/>
      <c r="BE6" s="437"/>
      <c r="BF6" s="437" t="str">
        <f t="shared" si="0"/>
        <v/>
      </c>
      <c r="BG6" s="437"/>
      <c r="BH6" s="437"/>
      <c r="BI6" s="448">
        <v>0</v>
      </c>
    </row>
    <row r="7" spans="1:61" s="2245" customFormat="1" ht="14.25" hidden="1" customHeight="1">
      <c r="A7" s="1262"/>
      <c r="B7" s="1262"/>
      <c r="C7" s="1262"/>
      <c r="D7" s="1262"/>
      <c r="E7" s="2484"/>
      <c r="F7" s="2484"/>
      <c r="G7" s="2484"/>
      <c r="H7" s="2484"/>
      <c r="I7" s="2504"/>
      <c r="J7" s="2481" t="str">
        <f>S5&amp;".1"</f>
        <v>.1</v>
      </c>
      <c r="K7" s="1262"/>
      <c r="L7" s="1265"/>
      <c r="M7" s="447"/>
      <c r="N7" s="447"/>
      <c r="O7" s="447"/>
      <c r="P7" s="2482"/>
      <c r="Q7" s="2482">
        <v>1</v>
      </c>
      <c r="R7" s="294"/>
      <c r="S7" s="966"/>
      <c r="T7" s="1318"/>
      <c r="U7" s="1303"/>
      <c r="V7" s="2513"/>
      <c r="W7" s="2513"/>
      <c r="X7" s="2513"/>
      <c r="Y7" s="2513"/>
      <c r="Z7" s="2513"/>
      <c r="AA7" s="2513"/>
      <c r="AB7" s="2513"/>
      <c r="AC7" s="2514"/>
      <c r="AD7" s="2512"/>
      <c r="AE7" s="2513"/>
      <c r="AF7" s="2513"/>
      <c r="AG7" s="2513"/>
      <c r="AH7" s="2513"/>
      <c r="AI7" s="2513"/>
      <c r="AJ7" s="2513"/>
      <c r="AK7" s="2513"/>
      <c r="AL7" s="2513"/>
      <c r="AM7" s="2513"/>
      <c r="AN7" s="2513"/>
      <c r="AO7" s="2513"/>
      <c r="AP7" s="2513"/>
      <c r="AQ7" s="2513"/>
      <c r="AR7" s="2513"/>
      <c r="AS7" s="2513"/>
      <c r="AT7" s="2513"/>
      <c r="AU7" s="2513"/>
      <c r="AV7" s="2513"/>
      <c r="AW7" s="2513"/>
      <c r="AX7" s="2513"/>
      <c r="AY7" s="2513"/>
      <c r="AZ7" s="2513"/>
      <c r="BA7" s="2513"/>
      <c r="BB7" s="2514"/>
      <c r="BC7" s="1304"/>
      <c r="BE7" s="437"/>
      <c r="BF7" s="437" t="str">
        <f t="shared" si="0"/>
        <v/>
      </c>
      <c r="BG7" s="437"/>
      <c r="BH7" s="437"/>
      <c r="BI7" s="448">
        <v>0</v>
      </c>
    </row>
    <row r="8" spans="1:61" ht="11.25" hidden="1" customHeight="1">
      <c r="A8" s="1282"/>
      <c r="B8" s="1282"/>
      <c r="C8" s="1282"/>
      <c r="D8" s="1282"/>
      <c r="E8" s="2484"/>
      <c r="F8" s="2484"/>
      <c r="G8" s="2484"/>
      <c r="H8" s="2484"/>
      <c r="I8" s="2504"/>
      <c r="J8" s="2504"/>
      <c r="K8" s="2481" t="e">
        <f>S4&amp;".1"</f>
        <v>#N/A</v>
      </c>
      <c r="L8" s="1283"/>
      <c r="P8" s="2482"/>
      <c r="Q8" s="2482"/>
      <c r="R8" s="2547">
        <v>1</v>
      </c>
      <c r="S8" s="2541" t="e">
        <f>$K8</f>
        <v>#N/A</v>
      </c>
      <c r="T8" s="2560"/>
      <c r="U8" s="237"/>
      <c r="V8" s="688"/>
      <c r="W8" s="1176"/>
      <c r="X8" s="688"/>
      <c r="Y8" s="1176"/>
      <c r="Z8" s="1652"/>
      <c r="AA8" s="1388" t="s">
        <v>64</v>
      </c>
      <c r="AB8" s="1652"/>
      <c r="AC8" s="1388" t="s">
        <v>64</v>
      </c>
      <c r="AD8" s="2421" t="s">
        <v>64</v>
      </c>
      <c r="AE8" s="2526"/>
      <c r="AF8" s="2438">
        <v>1</v>
      </c>
      <c r="AG8" s="2563"/>
      <c r="AH8" s="2344" t="s">
        <v>64</v>
      </c>
      <c r="AI8" s="2526"/>
      <c r="AJ8" s="2438">
        <v>1</v>
      </c>
      <c r="AK8" s="2527" t="s">
        <v>22</v>
      </c>
      <c r="AL8" s="2344" t="s">
        <v>64</v>
      </c>
      <c r="AM8" s="2428"/>
      <c r="AN8" s="2438">
        <v>1</v>
      </c>
      <c r="AO8" s="2557"/>
      <c r="AP8" s="2558" t="s">
        <v>64</v>
      </c>
      <c r="AQ8" s="248"/>
      <c r="AR8" s="1405">
        <v>1</v>
      </c>
      <c r="AS8" s="1411" t="s">
        <v>22</v>
      </c>
      <c r="AT8" s="688"/>
      <c r="AU8" s="1176"/>
      <c r="AV8" s="688"/>
      <c r="AW8" s="1176"/>
      <c r="AX8" s="1652"/>
      <c r="AY8" s="1388" t="s">
        <v>64</v>
      </c>
      <c r="AZ8" s="1652"/>
      <c r="BA8" s="1388" t="s">
        <v>64</v>
      </c>
      <c r="BB8" s="1267"/>
      <c r="BC8" s="2478" t="s">
        <v>499</v>
      </c>
      <c r="BE8" s="437"/>
      <c r="BF8" s="437" t="str">
        <f t="shared" si="0"/>
        <v/>
      </c>
      <c r="BG8" s="437"/>
      <c r="BH8" s="437"/>
      <c r="BI8" s="1074">
        <v>0</v>
      </c>
    </row>
    <row r="9" spans="1:61" ht="11.25" hidden="1" customHeight="1">
      <c r="A9" s="1282"/>
      <c r="B9" s="1282"/>
      <c r="C9" s="1282"/>
      <c r="D9" s="1282"/>
      <c r="E9" s="2484"/>
      <c r="F9" s="2484"/>
      <c r="G9" s="2484"/>
      <c r="H9" s="2484"/>
      <c r="I9" s="2504"/>
      <c r="J9" s="2504"/>
      <c r="K9" s="2481"/>
      <c r="L9" s="1283"/>
      <c r="P9" s="2482"/>
      <c r="Q9" s="2482"/>
      <c r="R9" s="2547"/>
      <c r="S9" s="2542"/>
      <c r="T9" s="2561"/>
      <c r="U9" s="237"/>
      <c r="V9" s="1312"/>
      <c r="W9" s="1415"/>
      <c r="X9" s="1312"/>
      <c r="Y9" s="1415"/>
      <c r="Z9" s="1312"/>
      <c r="AA9" s="1312"/>
      <c r="AB9" s="1312"/>
      <c r="AC9" s="1312"/>
      <c r="AD9" s="2422"/>
      <c r="AE9" s="2526"/>
      <c r="AF9" s="2438"/>
      <c r="AG9" s="2563"/>
      <c r="AH9" s="2344"/>
      <c r="AI9" s="2526"/>
      <c r="AJ9" s="2438"/>
      <c r="AK9" s="2527"/>
      <c r="AL9" s="2344"/>
      <c r="AM9" s="2433"/>
      <c r="AN9" s="2438"/>
      <c r="AO9" s="2557"/>
      <c r="AP9" s="2559"/>
      <c r="AQ9" s="253"/>
      <c r="AR9" s="353"/>
      <c r="AS9" s="353" t="s">
        <v>500</v>
      </c>
      <c r="AT9" s="1312"/>
      <c r="AU9" s="1415"/>
      <c r="AV9" s="1312"/>
      <c r="AW9" s="1415"/>
      <c r="AX9" s="1312"/>
      <c r="AY9" s="1312"/>
      <c r="AZ9" s="1312"/>
      <c r="BA9" s="1312"/>
      <c r="BB9" s="1316"/>
      <c r="BC9" s="2479"/>
      <c r="BE9" s="437"/>
      <c r="BF9" s="437"/>
      <c r="BG9" s="437"/>
      <c r="BH9" s="437"/>
      <c r="BI9" s="1074">
        <v>0</v>
      </c>
    </row>
    <row r="10" spans="1:61" ht="11.25" hidden="1" customHeight="1">
      <c r="A10" s="1282"/>
      <c r="B10" s="1282"/>
      <c r="C10" s="1282"/>
      <c r="D10" s="1282"/>
      <c r="E10" s="2484"/>
      <c r="F10" s="2484"/>
      <c r="G10" s="2484"/>
      <c r="H10" s="2484"/>
      <c r="I10" s="2504"/>
      <c r="J10" s="2504"/>
      <c r="K10" s="2481"/>
      <c r="L10" s="1283"/>
      <c r="P10" s="2482"/>
      <c r="Q10" s="2482"/>
      <c r="R10" s="2547"/>
      <c r="S10" s="2542"/>
      <c r="T10" s="2561"/>
      <c r="U10" s="237"/>
      <c r="V10" s="1312"/>
      <c r="W10" s="1415"/>
      <c r="X10" s="1312"/>
      <c r="Y10" s="1415"/>
      <c r="Z10" s="1312"/>
      <c r="AA10" s="1312"/>
      <c r="AB10" s="1312"/>
      <c r="AC10" s="1312"/>
      <c r="AD10" s="2422"/>
      <c r="AE10" s="2526"/>
      <c r="AF10" s="2438"/>
      <c r="AG10" s="2563"/>
      <c r="AH10" s="2344"/>
      <c r="AI10" s="2526"/>
      <c r="AJ10" s="2438"/>
      <c r="AK10" s="2527"/>
      <c r="AL10" s="2344"/>
      <c r="AM10" s="253"/>
      <c r="AN10" s="1419"/>
      <c r="AO10" s="1419" t="s">
        <v>501</v>
      </c>
      <c r="AP10" s="353"/>
      <c r="AQ10" s="353"/>
      <c r="AR10" s="353"/>
      <c r="AS10" s="1312"/>
      <c r="AT10" s="1312"/>
      <c r="AU10" s="1415"/>
      <c r="AV10" s="1312"/>
      <c r="AW10" s="1415"/>
      <c r="AX10" s="1312"/>
      <c r="AY10" s="1312"/>
      <c r="AZ10" s="1312"/>
      <c r="BA10" s="1312"/>
      <c r="BB10" s="1316"/>
      <c r="BC10" s="2479"/>
      <c r="BE10" s="437"/>
      <c r="BF10" s="437"/>
      <c r="BG10" s="437"/>
      <c r="BH10" s="437"/>
      <c r="BI10" s="1074">
        <v>0</v>
      </c>
    </row>
    <row r="11" spans="1:61" ht="11.25" hidden="1" customHeight="1">
      <c r="A11" s="1282"/>
      <c r="B11" s="1282"/>
      <c r="C11" s="1282"/>
      <c r="D11" s="1282"/>
      <c r="E11" s="2484"/>
      <c r="F11" s="2484"/>
      <c r="G11" s="2484"/>
      <c r="H11" s="2484"/>
      <c r="I11" s="2504"/>
      <c r="J11" s="2504"/>
      <c r="K11" s="2481"/>
      <c r="L11" s="1283"/>
      <c r="P11" s="2482"/>
      <c r="Q11" s="2482"/>
      <c r="R11" s="2547"/>
      <c r="S11" s="2542"/>
      <c r="T11" s="2561"/>
      <c r="U11" s="237"/>
      <c r="V11" s="1312"/>
      <c r="W11" s="1415"/>
      <c r="X11" s="1312"/>
      <c r="Y11" s="1415"/>
      <c r="Z11" s="1312"/>
      <c r="AA11" s="1312"/>
      <c r="AB11" s="1312"/>
      <c r="AC11" s="1312"/>
      <c r="AD11" s="2422"/>
      <c r="AE11" s="2526"/>
      <c r="AF11" s="2438"/>
      <c r="AG11" s="2563"/>
      <c r="AH11" s="2344"/>
      <c r="AI11" s="231"/>
      <c r="AJ11" s="352"/>
      <c r="AK11" s="250" t="s">
        <v>502</v>
      </c>
      <c r="AL11" s="1312"/>
      <c r="AM11" s="1312"/>
      <c r="AN11" s="1312"/>
      <c r="AO11" s="1312"/>
      <c r="AP11" s="1312"/>
      <c r="AQ11" s="1312"/>
      <c r="AR11" s="1312"/>
      <c r="AS11" s="1312"/>
      <c r="AT11" s="1312"/>
      <c r="AU11" s="1415"/>
      <c r="AV11" s="1312"/>
      <c r="AW11" s="1415"/>
      <c r="AX11" s="1312"/>
      <c r="AY11" s="1312"/>
      <c r="AZ11" s="1312"/>
      <c r="BA11" s="1312"/>
      <c r="BB11" s="1316"/>
      <c r="BC11" s="2479"/>
      <c r="BE11" s="437"/>
      <c r="BF11" s="437"/>
      <c r="BG11" s="437"/>
      <c r="BH11" s="437"/>
      <c r="BI11" s="1074">
        <v>0</v>
      </c>
    </row>
    <row r="12" spans="1:61" ht="11.25" hidden="1" customHeight="1">
      <c r="A12" s="1282"/>
      <c r="B12" s="1282"/>
      <c r="C12" s="1282"/>
      <c r="D12" s="1282"/>
      <c r="E12" s="2484"/>
      <c r="F12" s="2484"/>
      <c r="G12" s="2484"/>
      <c r="H12" s="2484"/>
      <c r="I12" s="2504"/>
      <c r="J12" s="2504"/>
      <c r="K12" s="2481"/>
      <c r="L12" s="1283"/>
      <c r="P12" s="2482"/>
      <c r="Q12" s="2482"/>
      <c r="R12" s="2547"/>
      <c r="S12" s="2543"/>
      <c r="T12" s="2562"/>
      <c r="U12" s="237"/>
      <c r="V12" s="1312"/>
      <c r="W12" s="1313" t="str">
        <f>Z8&amp;"-"&amp;AB8</f>
        <v>-</v>
      </c>
      <c r="X12" s="1312"/>
      <c r="Y12" s="1313" t="str">
        <f>AB8&amp;"-"&amp;AD8</f>
        <v>-да</v>
      </c>
      <c r="Z12" s="1312"/>
      <c r="AA12" s="1312"/>
      <c r="AB12" s="1312"/>
      <c r="AC12" s="1312"/>
      <c r="AD12" s="2349"/>
      <c r="AE12" s="249"/>
      <c r="AF12" s="251"/>
      <c r="AG12" s="353" t="s">
        <v>503</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479"/>
      <c r="BE12" s="437"/>
      <c r="BF12" s="437" t="str">
        <f t="shared" ref="BF12:BF18" si="1">IF(T12="","",T12)</f>
        <v/>
      </c>
      <c r="BG12" s="437"/>
      <c r="BH12" s="437"/>
      <c r="BI12" s="1074">
        <v>0</v>
      </c>
    </row>
    <row r="13" spans="1:61" ht="11.25" hidden="1" customHeight="1">
      <c r="A13" s="1282"/>
      <c r="B13" s="1282"/>
      <c r="C13" s="1282"/>
      <c r="D13" s="1282"/>
      <c r="E13" s="2484"/>
      <c r="F13" s="2484"/>
      <c r="G13" s="2484"/>
      <c r="H13" s="2484"/>
      <c r="I13" s="2504"/>
      <c r="J13" s="2481"/>
      <c r="K13" s="1282"/>
      <c r="L13" s="1283"/>
      <c r="P13" s="2482"/>
      <c r="Q13" s="2482"/>
      <c r="R13" s="293"/>
      <c r="S13" s="1197"/>
      <c r="T13" s="224" t="s">
        <v>466</v>
      </c>
      <c r="U13" s="304"/>
      <c r="V13" s="304"/>
      <c r="W13" s="304"/>
      <c r="X13" s="304"/>
      <c r="Y13" s="304"/>
      <c r="Z13" s="304"/>
      <c r="AA13" s="304"/>
      <c r="AB13" s="304"/>
      <c r="AC13" s="304"/>
      <c r="AD13" s="1424"/>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480"/>
      <c r="BE13" s="437"/>
      <c r="BF13" s="437" t="str">
        <f t="shared" si="1"/>
        <v>Добавить строку</v>
      </c>
      <c r="BG13" s="437"/>
      <c r="BH13" s="437"/>
      <c r="BI13" s="1074">
        <v>0</v>
      </c>
    </row>
    <row r="14" spans="1:61" s="2245" customFormat="1" ht="14.25" hidden="1" customHeight="1">
      <c r="A14" s="1262"/>
      <c r="B14" s="1262"/>
      <c r="C14" s="1262"/>
      <c r="D14" s="1262"/>
      <c r="E14" s="2484"/>
      <c r="F14" s="2484"/>
      <c r="G14" s="2484"/>
      <c r="H14" s="2484"/>
      <c r="I14" s="2481"/>
      <c r="J14" s="1262"/>
      <c r="K14" s="1262"/>
      <c r="L14" s="1265"/>
      <c r="M14" s="447"/>
      <c r="N14" s="447"/>
      <c r="O14" s="447"/>
      <c r="P14" s="2482"/>
      <c r="Q14" s="1400"/>
      <c r="R14" s="293"/>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7"/>
      <c r="BF14" s="437" t="str">
        <f t="shared" si="1"/>
        <v/>
      </c>
      <c r="BG14" s="437"/>
      <c r="BH14" s="437"/>
      <c r="BI14" s="448">
        <v>0</v>
      </c>
    </row>
    <row r="15" spans="1:61" s="2245" customFormat="1" ht="14.25" hidden="1" customHeight="1">
      <c r="A15" s="1262"/>
      <c r="B15" s="1262"/>
      <c r="C15" s="1262"/>
      <c r="D15" s="1262"/>
      <c r="E15" s="2484"/>
      <c r="F15" s="2484"/>
      <c r="G15" s="2484"/>
      <c r="H15" s="2483"/>
      <c r="I15" s="1262"/>
      <c r="J15" s="1262"/>
      <c r="K15" s="1262"/>
      <c r="L15" s="1265"/>
      <c r="M15" s="1234"/>
      <c r="N15" s="1234"/>
      <c r="O15" s="455"/>
      <c r="P15" s="317"/>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7"/>
      <c r="BF15" s="437" t="str">
        <f t="shared" si="1"/>
        <v/>
      </c>
      <c r="BG15" s="437"/>
      <c r="BH15" s="437"/>
      <c r="BI15" s="448">
        <v>0</v>
      </c>
    </row>
    <row r="16" spans="1:61" s="2245" customFormat="1" ht="14.25" hidden="1" customHeight="1">
      <c r="A16" s="1262"/>
      <c r="B16" s="1262"/>
      <c r="C16" s="1262"/>
      <c r="D16" s="1233"/>
      <c r="E16" s="2484"/>
      <c r="F16" s="2484"/>
      <c r="G16" s="2483"/>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20"/>
      <c r="BF16" s="720" t="str">
        <f t="shared" si="1"/>
        <v/>
      </c>
      <c r="BG16" s="720"/>
      <c r="BH16" s="720"/>
      <c r="BI16" s="455">
        <v>0</v>
      </c>
    </row>
    <row r="17" spans="1:61" s="2245" customFormat="1" ht="14.25" hidden="1" customHeight="1">
      <c r="A17" s="1262"/>
      <c r="B17" s="1262"/>
      <c r="C17" s="1233"/>
      <c r="D17" s="1233"/>
      <c r="E17" s="2484"/>
      <c r="F17" s="2483"/>
      <c r="G17" s="1233"/>
      <c r="H17" s="1233"/>
      <c r="I17" s="1233"/>
      <c r="J17" s="1233"/>
      <c r="K17" s="1233"/>
      <c r="L17" s="1413"/>
      <c r="M17" s="1240"/>
      <c r="N17" s="1240"/>
      <c r="P17" s="1235"/>
      <c r="Q17" s="1236"/>
      <c r="R17" s="1235"/>
      <c r="S17" s="1241"/>
      <c r="T17" s="1244" t="s">
        <v>413</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20"/>
      <c r="BF17" s="720" t="str">
        <f t="shared" si="1"/>
        <v>Добавить централизованную систему для дифференциации</v>
      </c>
      <c r="BG17" s="720"/>
      <c r="BH17" s="720"/>
      <c r="BI17" s="455">
        <v>0</v>
      </c>
    </row>
    <row r="18" spans="1:61" s="2245" customFormat="1" ht="14.25" hidden="1" customHeight="1">
      <c r="A18" s="1262"/>
      <c r="B18" s="1262"/>
      <c r="C18" s="1262"/>
      <c r="D18" s="1262"/>
      <c r="E18" s="2483"/>
      <c r="F18" s="1262"/>
      <c r="G18" s="1262"/>
      <c r="H18" s="1262"/>
      <c r="I18" s="1262"/>
      <c r="J18" s="1262"/>
      <c r="K18" s="1262"/>
      <c r="L18" s="1265"/>
      <c r="M18" s="1240"/>
      <c r="N18" s="1240"/>
      <c r="O18" s="455"/>
      <c r="P18" s="317"/>
      <c r="Q18" s="1263"/>
      <c r="R18" s="317"/>
      <c r="S18" s="1241"/>
      <c r="T18" s="1244" t="s">
        <v>414</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7"/>
      <c r="BF18" s="437" t="str">
        <f t="shared" si="1"/>
        <v>Добавить территорию для дифференциации</v>
      </c>
      <c r="BG18" s="437"/>
      <c r="BH18" s="437"/>
      <c r="BI18" s="448">
        <v>0</v>
      </c>
    </row>
    <row r="19" spans="1:61" ht="14.25" hidden="1" customHeight="1">
      <c r="AC19" s="264"/>
      <c r="BA19" s="264"/>
      <c r="BI19" s="1074">
        <v>0</v>
      </c>
    </row>
    <row r="20" spans="1:61" ht="14.25" hidden="1" customHeight="1">
      <c r="AD20" s="1243" t="s">
        <v>19</v>
      </c>
      <c r="AE20" s="1420"/>
      <c r="AF20" s="485">
        <v>1</v>
      </c>
      <c r="AG20" s="1421"/>
      <c r="AH20" s="1243" t="s">
        <v>19</v>
      </c>
      <c r="AI20" s="1420"/>
      <c r="AJ20" s="485">
        <v>1</v>
      </c>
      <c r="AK20" s="1421"/>
      <c r="AL20" s="1243" t="s">
        <v>19</v>
      </c>
      <c r="AM20" s="1422"/>
      <c r="AN20" s="485">
        <v>1</v>
      </c>
      <c r="AO20" s="1423"/>
      <c r="AP20" s="1243" t="s">
        <v>19</v>
      </c>
      <c r="AQ20" s="1422"/>
      <c r="AR20" s="485">
        <v>1</v>
      </c>
      <c r="AS20" s="1423"/>
      <c r="AT20" s="262"/>
      <c r="AU20" s="321"/>
      <c r="AV20" s="262"/>
      <c r="AW20" s="321"/>
      <c r="AX20" s="1654"/>
      <c r="AY20" s="1404" t="s">
        <v>64</v>
      </c>
      <c r="AZ20" s="1654"/>
      <c r="BA20" s="1404" t="s">
        <v>64</v>
      </c>
      <c r="BI20" s="1074">
        <v>0</v>
      </c>
    </row>
    <row r="21" spans="1:61" ht="14.25" hidden="1" customHeight="1">
      <c r="BD21" s="433"/>
      <c r="BE21" s="433"/>
      <c r="BF21" s="433"/>
      <c r="BG21" s="433"/>
      <c r="BH21" s="433"/>
      <c r="BI21" s="1074">
        <v>0</v>
      </c>
    </row>
    <row r="22" spans="1:61" ht="14.25" hidden="1" customHeight="1">
      <c r="O22" s="1286" t="s">
        <v>415</v>
      </c>
      <c r="Z22" s="1264"/>
      <c r="AB22" s="1264"/>
      <c r="AC22" s="264"/>
      <c r="AX22" s="1264"/>
      <c r="AZ22" s="1264"/>
      <c r="BA22" s="264"/>
      <c r="BD22" s="433"/>
      <c r="BE22" s="433"/>
      <c r="BF22" s="433"/>
      <c r="BG22" s="433"/>
      <c r="BH22" s="433"/>
      <c r="BI22" s="1074">
        <v>0</v>
      </c>
    </row>
    <row r="23" spans="1:61" ht="14.25" hidden="1" customHeight="1">
      <c r="AC23" s="264"/>
      <c r="BA23" s="264"/>
      <c r="BD23" s="433"/>
      <c r="BE23" s="433"/>
      <c r="BF23" s="433"/>
      <c r="BG23" s="433"/>
      <c r="BH23" s="433"/>
      <c r="BI23" s="1074">
        <v>0</v>
      </c>
    </row>
    <row r="24" spans="1:61" s="2275" customFormat="1" ht="14.25" hidden="1" customHeight="1">
      <c r="M24" s="1427"/>
      <c r="N24" s="1427"/>
      <c r="O24" s="1428" t="s">
        <v>416</v>
      </c>
      <c r="P24" s="1427"/>
      <c r="Q24" s="1429"/>
      <c r="R24" s="1429"/>
      <c r="AA24" s="1426" t="s">
        <v>418</v>
      </c>
      <c r="AC24" s="1426" t="s">
        <v>419</v>
      </c>
      <c r="AD24" s="1426" t="s">
        <v>467</v>
      </c>
      <c r="AH24" s="1426" t="s">
        <v>467</v>
      </c>
      <c r="AK24" s="1426" t="s">
        <v>504</v>
      </c>
      <c r="AL24" s="1426" t="s">
        <v>467</v>
      </c>
      <c r="AP24" s="1426" t="s">
        <v>467</v>
      </c>
      <c r="AY24" s="1426" t="s">
        <v>418</v>
      </c>
      <c r="BA24" s="1426" t="s">
        <v>419</v>
      </c>
      <c r="BD24" s="1430"/>
      <c r="BE24" s="1430"/>
      <c r="BF24" s="1430"/>
      <c r="BG24" s="1430"/>
      <c r="BH24" s="1430"/>
      <c r="BI24" s="1426">
        <v>0</v>
      </c>
    </row>
    <row r="25" spans="1:61" ht="14.25" hidden="1" customHeight="1">
      <c r="O25" s="1283"/>
      <c r="BD25" s="433"/>
      <c r="BE25" s="433"/>
      <c r="BF25" s="433"/>
      <c r="BG25" s="433"/>
      <c r="BH25" s="433"/>
      <c r="BI25" s="1074">
        <v>0</v>
      </c>
    </row>
    <row r="26" spans="1:61" ht="14.25" hidden="1" customHeight="1">
      <c r="O26" s="1283"/>
      <c r="BD26" s="433"/>
      <c r="BE26" s="433"/>
      <c r="BF26" s="433"/>
      <c r="BG26" s="433"/>
      <c r="BH26" s="433"/>
      <c r="BI26" s="1074">
        <v>0</v>
      </c>
    </row>
    <row r="27" spans="1:61" ht="14.65" customHeight="1">
      <c r="Q27" s="228"/>
      <c r="R27" s="313"/>
      <c r="S27" s="1194"/>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74">
        <v>14</v>
      </c>
    </row>
    <row r="28" spans="1:61" ht="14.65" customHeight="1">
      <c r="Q28" s="228"/>
      <c r="R28" s="313"/>
      <c r="S28" s="2467"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467"/>
      <c r="U28" s="2467"/>
      <c r="V28" s="2467"/>
      <c r="W28" s="2467"/>
      <c r="X28" s="2467"/>
      <c r="Y28" s="2467"/>
      <c r="Z28" s="2467"/>
      <c r="AA28" s="2467"/>
      <c r="AB28" s="2467"/>
      <c r="AC28" s="2467"/>
      <c r="AD28" s="2467"/>
      <c r="AE28" s="2467"/>
      <c r="AF28" s="2467"/>
      <c r="AG28" s="2467"/>
      <c r="AH28" s="2467"/>
      <c r="AI28" s="2467"/>
      <c r="AJ28" s="2467"/>
      <c r="AK28" s="2467"/>
      <c r="AL28" s="2467"/>
      <c r="AM28" s="2467"/>
      <c r="AN28" s="2467"/>
      <c r="AO28" s="2467"/>
      <c r="AP28" s="2467"/>
      <c r="AQ28" s="2467"/>
      <c r="AR28" s="2467"/>
      <c r="AS28" s="2467"/>
      <c r="AT28" s="2467"/>
      <c r="AU28" s="2467"/>
      <c r="AV28" s="2467"/>
      <c r="AW28" s="2467"/>
      <c r="AX28" s="2467"/>
      <c r="AY28" s="2467"/>
      <c r="AZ28" s="2467"/>
      <c r="BA28" s="1162"/>
      <c r="BI28" s="1074">
        <v>14</v>
      </c>
    </row>
    <row r="29" spans="1:61" ht="14.65" customHeight="1">
      <c r="Q29" s="228"/>
      <c r="R29" s="313"/>
      <c r="S29" s="2412" t="str">
        <f>IF(org=0,"Не определено",org)</f>
        <v>МУП "Водоканал"</v>
      </c>
      <c r="T29" s="2412"/>
      <c r="U29" s="2412"/>
      <c r="V29" s="2412"/>
      <c r="W29" s="2412"/>
      <c r="X29" s="2412"/>
      <c r="Y29" s="2412"/>
      <c r="Z29" s="2412"/>
      <c r="AA29" s="2412"/>
      <c r="AB29" s="2412"/>
      <c r="AC29" s="2412"/>
      <c r="AD29" s="2412"/>
      <c r="AE29" s="2412"/>
      <c r="AF29" s="2412"/>
      <c r="AG29" s="2412"/>
      <c r="AH29" s="2412"/>
      <c r="AI29" s="2412"/>
      <c r="AJ29" s="2412"/>
      <c r="AK29" s="2412"/>
      <c r="AL29" s="2412"/>
      <c r="AM29" s="2412"/>
      <c r="AN29" s="2412"/>
      <c r="AO29" s="2412"/>
      <c r="AP29" s="2412"/>
      <c r="AQ29" s="2412"/>
      <c r="AR29" s="2412"/>
      <c r="AS29" s="2412"/>
      <c r="AT29" s="2412"/>
      <c r="AU29" s="2412"/>
      <c r="AV29" s="2412"/>
      <c r="AW29" s="2412"/>
      <c r="AX29" s="2412"/>
      <c r="AY29" s="2412"/>
      <c r="AZ29" s="2412"/>
      <c r="BA29" s="1162"/>
      <c r="BI29" s="1074">
        <v>14</v>
      </c>
    </row>
    <row r="30" spans="1:61" ht="14.25" hidden="1" customHeight="1">
      <c r="Q30" s="228"/>
      <c r="R30" s="313"/>
      <c r="S30" s="1194"/>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74">
        <v>0</v>
      </c>
    </row>
    <row r="31" spans="1:61" s="2254" customFormat="1" ht="25.5" hidden="1" customHeight="1">
      <c r="A31" s="1287"/>
      <c r="B31" s="1287"/>
      <c r="C31" s="1287"/>
      <c r="D31" s="1287"/>
      <c r="E31" s="1287"/>
      <c r="F31" s="1287"/>
      <c r="G31" s="1287"/>
      <c r="H31" s="1287"/>
      <c r="I31" s="1287"/>
      <c r="J31" s="1287"/>
      <c r="K31" s="1287"/>
      <c r="L31" s="1288"/>
      <c r="M31" s="1287"/>
      <c r="N31" s="1287"/>
      <c r="O31" s="1287"/>
      <c r="P31" s="1287"/>
      <c r="Q31" s="1287"/>
      <c r="S31" s="2475" t="s">
        <v>41</v>
      </c>
      <c r="T31" s="2475"/>
      <c r="U31" s="1291"/>
      <c r="V31" s="2476" t="str">
        <f>IF(TITLE_NAME_OR_PR_CHANGE="",IF(TITLE_NAME_OR_PR="","",TITLE_NAME_OR_PR),TITLE_NAME_OR_PR_CHANGE)</f>
        <v/>
      </c>
      <c r="W31" s="2476"/>
      <c r="X31" s="2476"/>
      <c r="Y31" s="2476"/>
      <c r="Z31" s="2476"/>
      <c r="AA31" s="2476"/>
      <c r="AB31" s="2476"/>
      <c r="AC31" s="263"/>
      <c r="AD31" s="2476" t="str">
        <f>IF(TITLE_NAME_OR_PR_CHANGE="",IF(TITLE_NAME_OR_PR="","",TITLE_NAME_OR_PR),TITLE_NAME_OR_PR_CHANGE)</f>
        <v/>
      </c>
      <c r="AE31" s="2476"/>
      <c r="AF31" s="2476"/>
      <c r="AG31" s="2476"/>
      <c r="AH31" s="2476"/>
      <c r="AI31" s="2476"/>
      <c r="AJ31" s="2476"/>
      <c r="AK31" s="2476"/>
      <c r="AL31" s="2476"/>
      <c r="AM31" s="2476"/>
      <c r="AN31" s="2476"/>
      <c r="AO31" s="2476"/>
      <c r="AP31" s="2476"/>
      <c r="AQ31" s="2476"/>
      <c r="AR31" s="2476"/>
      <c r="AS31" s="2476"/>
      <c r="AT31" s="2476"/>
      <c r="AU31" s="2476"/>
      <c r="AV31" s="2476"/>
      <c r="AW31" s="2476"/>
      <c r="AX31" s="2476"/>
      <c r="AY31" s="2476"/>
      <c r="AZ31" s="2476"/>
      <c r="BA31" s="263"/>
      <c r="BB31" s="263"/>
      <c r="BC31" s="217"/>
      <c r="BD31" s="305"/>
      <c r="BE31" s="305"/>
      <c r="BF31" s="305"/>
      <c r="BG31" s="305"/>
      <c r="BH31" s="305"/>
      <c r="BI31" s="355">
        <v>0</v>
      </c>
    </row>
    <row r="32" spans="1:61" s="2254" customFormat="1" ht="18.75" hidden="1" customHeight="1">
      <c r="A32" s="1287"/>
      <c r="B32" s="1287"/>
      <c r="C32" s="1287"/>
      <c r="D32" s="1287"/>
      <c r="E32" s="1287"/>
      <c r="F32" s="1287"/>
      <c r="G32" s="1287"/>
      <c r="H32" s="1287"/>
      <c r="I32" s="1287"/>
      <c r="J32" s="1287"/>
      <c r="K32" s="1287"/>
      <c r="L32" s="1288"/>
      <c r="M32" s="1287"/>
      <c r="N32" s="1287"/>
      <c r="O32" s="1287"/>
      <c r="P32" s="1287"/>
      <c r="Q32" s="1287"/>
      <c r="S32" s="2475" t="s">
        <v>421</v>
      </c>
      <c r="T32" s="2475"/>
      <c r="U32" s="1291"/>
      <c r="V32" s="2485" t="str">
        <f>IF(TITLE_DATE_PR_CHANGE="",IF(TITLE_DATE_PR="","",TITLE_DATE_PR),TITLE_DATE_PR_CHANGE)</f>
        <v/>
      </c>
      <c r="W32" s="2485"/>
      <c r="X32" s="2485"/>
      <c r="Y32" s="2485"/>
      <c r="Z32" s="2485"/>
      <c r="AA32" s="2485"/>
      <c r="AB32" s="2485"/>
      <c r="AC32" s="263"/>
      <c r="AD32" s="2485" t="str">
        <f>IF(TITLE_DATE_PR_CHANGE="",IF(TITLE_DATE_PR="","",TITLE_DATE_PR),TITLE_DATE_PR_CHANGE)</f>
        <v/>
      </c>
      <c r="AE32" s="2485"/>
      <c r="AF32" s="2485"/>
      <c r="AG32" s="2485"/>
      <c r="AH32" s="2485"/>
      <c r="AI32" s="2485"/>
      <c r="AJ32" s="2485"/>
      <c r="AK32" s="2485"/>
      <c r="AL32" s="2485"/>
      <c r="AM32" s="2485"/>
      <c r="AN32" s="2485"/>
      <c r="AO32" s="2485"/>
      <c r="AP32" s="2485"/>
      <c r="AQ32" s="2485"/>
      <c r="AR32" s="2485"/>
      <c r="AS32" s="2485"/>
      <c r="AT32" s="2485"/>
      <c r="AU32" s="2485"/>
      <c r="AV32" s="2485"/>
      <c r="AW32" s="2485"/>
      <c r="AX32" s="2485"/>
      <c r="AY32" s="2485"/>
      <c r="AZ32" s="2485"/>
      <c r="BA32" s="263"/>
      <c r="BB32" s="263"/>
      <c r="BC32" s="217"/>
      <c r="BD32" s="305"/>
      <c r="BE32" s="305"/>
      <c r="BF32" s="305"/>
      <c r="BG32" s="305"/>
      <c r="BH32" s="305"/>
      <c r="BI32" s="355">
        <v>0</v>
      </c>
    </row>
    <row r="33" spans="1:61" s="2254" customFormat="1" ht="18.75" hidden="1" customHeight="1">
      <c r="A33" s="1287"/>
      <c r="B33" s="1287"/>
      <c r="C33" s="1287"/>
      <c r="D33" s="1287"/>
      <c r="E33" s="1287"/>
      <c r="F33" s="1287"/>
      <c r="G33" s="1287"/>
      <c r="H33" s="1287"/>
      <c r="I33" s="1287"/>
      <c r="J33" s="1287"/>
      <c r="K33" s="1287"/>
      <c r="L33" s="1288"/>
      <c r="M33" s="1287"/>
      <c r="N33" s="1287"/>
      <c r="O33" s="1287"/>
      <c r="P33" s="1287"/>
      <c r="Q33" s="1287"/>
      <c r="S33" s="2475" t="s">
        <v>422</v>
      </c>
      <c r="T33" s="2475"/>
      <c r="U33" s="1291"/>
      <c r="V33" s="2476" t="str">
        <f>IF(TITLE_NUMBER_PR_CHANGE="",IF(TITLE_NUMBER_PR="","",TITLE_NUMBER_PR),TITLE_NUMBER_PR_CHANGE)</f>
        <v/>
      </c>
      <c r="W33" s="2476"/>
      <c r="X33" s="2476"/>
      <c r="Y33" s="2476"/>
      <c r="Z33" s="2476"/>
      <c r="AA33" s="2476"/>
      <c r="AB33" s="2476"/>
      <c r="AC33" s="263"/>
      <c r="AD33" s="2476" t="str">
        <f>IF(TITLE_NUMBER_PR_CHANGE="",IF(TITLE_NUMBER_PR="","",TITLE_NUMBER_PR),TITLE_NUMBER_PR_CHANGE)</f>
        <v/>
      </c>
      <c r="AE33" s="2476"/>
      <c r="AF33" s="2476"/>
      <c r="AG33" s="2476"/>
      <c r="AH33" s="2476"/>
      <c r="AI33" s="2476"/>
      <c r="AJ33" s="2476"/>
      <c r="AK33" s="2476"/>
      <c r="AL33" s="2476"/>
      <c r="AM33" s="2476"/>
      <c r="AN33" s="2476"/>
      <c r="AO33" s="2476"/>
      <c r="AP33" s="2476"/>
      <c r="AQ33" s="2476"/>
      <c r="AR33" s="2476"/>
      <c r="AS33" s="2476"/>
      <c r="AT33" s="2476"/>
      <c r="AU33" s="2476"/>
      <c r="AV33" s="2476"/>
      <c r="AW33" s="2476"/>
      <c r="AX33" s="2476"/>
      <c r="AY33" s="2476"/>
      <c r="AZ33" s="2476"/>
      <c r="BA33" s="263"/>
      <c r="BB33" s="263"/>
      <c r="BC33" s="217"/>
      <c r="BD33" s="305"/>
      <c r="BE33" s="305"/>
      <c r="BF33" s="305"/>
      <c r="BG33" s="305"/>
      <c r="BH33" s="305"/>
      <c r="BI33" s="355">
        <v>0</v>
      </c>
    </row>
    <row r="34" spans="1:61" s="2254" customFormat="1" ht="18.75" hidden="1" customHeight="1">
      <c r="A34" s="1287"/>
      <c r="B34" s="1287"/>
      <c r="C34" s="1287"/>
      <c r="D34" s="1287"/>
      <c r="E34" s="1287"/>
      <c r="F34" s="1287"/>
      <c r="G34" s="1287"/>
      <c r="H34" s="1287"/>
      <c r="I34" s="1287"/>
      <c r="J34" s="1287"/>
      <c r="K34" s="1287"/>
      <c r="L34" s="1288"/>
      <c r="M34" s="1287"/>
      <c r="N34" s="1287"/>
      <c r="O34" s="1287"/>
      <c r="P34" s="1287"/>
      <c r="Q34" s="1287"/>
      <c r="S34" s="2475" t="s">
        <v>42</v>
      </c>
      <c r="T34" s="2475"/>
      <c r="U34" s="1291"/>
      <c r="V34" s="2476" t="str">
        <f>IF(TITLE_IST_PUB_CHANGE="",IF(TITLE_IST_PUB="","",TITLE_IST_PUB),TITLE_IST_PUB_CHANGE)</f>
        <v/>
      </c>
      <c r="W34" s="2476"/>
      <c r="X34" s="2476"/>
      <c r="Y34" s="2476"/>
      <c r="Z34" s="2476"/>
      <c r="AA34" s="2476"/>
      <c r="AB34" s="2476"/>
      <c r="AC34" s="263"/>
      <c r="AD34" s="2476" t="str">
        <f>IF(TITLE_IST_PUB_CHANGE="",IF(TITLE_IST_PUB="","",TITLE_IST_PUB),TITLE_IST_PUB_CHANGE)</f>
        <v/>
      </c>
      <c r="AE34" s="2476"/>
      <c r="AF34" s="2476"/>
      <c r="AG34" s="2476"/>
      <c r="AH34" s="2476"/>
      <c r="AI34" s="2476"/>
      <c r="AJ34" s="2476"/>
      <c r="AK34" s="2476"/>
      <c r="AL34" s="2476"/>
      <c r="AM34" s="2476"/>
      <c r="AN34" s="2476"/>
      <c r="AO34" s="2476"/>
      <c r="AP34" s="2476"/>
      <c r="AQ34" s="2476"/>
      <c r="AR34" s="2476"/>
      <c r="AS34" s="2476"/>
      <c r="AT34" s="2476"/>
      <c r="AU34" s="2476"/>
      <c r="AV34" s="2476"/>
      <c r="AW34" s="2476"/>
      <c r="AX34" s="2476"/>
      <c r="AY34" s="2476"/>
      <c r="AZ34" s="2476"/>
      <c r="BA34" s="263"/>
      <c r="BB34" s="263"/>
      <c r="BC34" s="217"/>
      <c r="BD34" s="305"/>
      <c r="BE34" s="305"/>
      <c r="BF34" s="305"/>
      <c r="BG34" s="305"/>
      <c r="BH34" s="305"/>
      <c r="BI34" s="355">
        <v>0</v>
      </c>
    </row>
    <row r="35" spans="1:61" ht="14.25" hidden="1" customHeight="1">
      <c r="Q35" s="228"/>
      <c r="R35" s="313"/>
      <c r="S35" s="1194"/>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74">
        <v>0</v>
      </c>
    </row>
    <row r="36" spans="1:61" s="2254" customFormat="1" ht="18.75" hidden="1" customHeight="1">
      <c r="A36" s="1287"/>
      <c r="B36" s="1287"/>
      <c r="C36" s="1287"/>
      <c r="D36" s="1287"/>
      <c r="E36" s="1287"/>
      <c r="F36" s="1287"/>
      <c r="G36" s="1287"/>
      <c r="H36" s="1287"/>
      <c r="I36" s="1287"/>
      <c r="J36" s="1287"/>
      <c r="K36" s="1287"/>
      <c r="L36" s="1288"/>
      <c r="M36" s="1287"/>
      <c r="N36" s="1287"/>
      <c r="O36" s="1287"/>
      <c r="P36" s="1287"/>
      <c r="Q36" s="1287"/>
      <c r="S36" s="2475" t="s">
        <v>421</v>
      </c>
      <c r="T36" s="2475"/>
      <c r="U36" s="1291"/>
      <c r="V36" s="2485" t="str">
        <f>IF(TITLE_DATE_PR_CHANGE="",IF(TITLE_DATE_PR="","",TITLE_DATE_PR),TITLE_DATE_PR_CHANGE)</f>
        <v/>
      </c>
      <c r="W36" s="2485"/>
      <c r="X36" s="2485"/>
      <c r="Y36" s="2485"/>
      <c r="Z36" s="2485"/>
      <c r="AA36" s="2485"/>
      <c r="AB36" s="2485"/>
      <c r="AC36" s="263"/>
      <c r="AD36" s="2485" t="str">
        <f>IF(TITLE_DATE_PR_CHANGE="",IF(TITLE_DATE_PR="","",TITLE_DATE_PR),TITLE_DATE_PR_CHANGE)</f>
        <v/>
      </c>
      <c r="AE36" s="2485"/>
      <c r="AF36" s="2485"/>
      <c r="AG36" s="2485"/>
      <c r="AH36" s="2485"/>
      <c r="AI36" s="2485"/>
      <c r="AJ36" s="2485"/>
      <c r="AK36" s="2485"/>
      <c r="AL36" s="2485"/>
      <c r="AM36" s="2485"/>
      <c r="AN36" s="2485"/>
      <c r="AO36" s="2485"/>
      <c r="AP36" s="2485"/>
      <c r="AQ36" s="2485"/>
      <c r="AR36" s="2485"/>
      <c r="AS36" s="2485"/>
      <c r="AT36" s="2485"/>
      <c r="AU36" s="2485"/>
      <c r="AV36" s="2485"/>
      <c r="AW36" s="2485"/>
      <c r="AX36" s="2485"/>
      <c r="AY36" s="2485"/>
      <c r="AZ36" s="2485"/>
      <c r="BA36" s="263"/>
      <c r="BB36" s="263"/>
      <c r="BC36" s="217"/>
      <c r="BD36" s="305"/>
      <c r="BE36" s="305"/>
      <c r="BF36" s="305"/>
      <c r="BG36" s="305"/>
      <c r="BH36" s="305"/>
      <c r="BI36" s="355">
        <v>0</v>
      </c>
    </row>
    <row r="37" spans="1:61" s="2254" customFormat="1" ht="18.75" hidden="1" customHeight="1">
      <c r="A37" s="1287"/>
      <c r="B37" s="1287"/>
      <c r="C37" s="1287"/>
      <c r="D37" s="1287"/>
      <c r="E37" s="1287"/>
      <c r="F37" s="1287"/>
      <c r="G37" s="1287"/>
      <c r="H37" s="1287"/>
      <c r="I37" s="1287"/>
      <c r="J37" s="1287"/>
      <c r="K37" s="1287"/>
      <c r="L37" s="1288"/>
      <c r="M37" s="1287"/>
      <c r="N37" s="1287"/>
      <c r="O37" s="1287"/>
      <c r="P37" s="1287"/>
      <c r="Q37" s="1287"/>
      <c r="S37" s="2475" t="s">
        <v>422</v>
      </c>
      <c r="T37" s="2475"/>
      <c r="U37" s="1291"/>
      <c r="V37" s="2476" t="str">
        <f>IF(TITLE_NUMBER_PR_CHANGE="",IF(TITLE_NUMBER_PR="","",TITLE_NUMBER_PR),TITLE_NUMBER_PR_CHANGE)</f>
        <v/>
      </c>
      <c r="W37" s="2476"/>
      <c r="X37" s="2476"/>
      <c r="Y37" s="2476"/>
      <c r="Z37" s="2476"/>
      <c r="AA37" s="2476"/>
      <c r="AB37" s="2476"/>
      <c r="AC37" s="263"/>
      <c r="AD37" s="2476" t="str">
        <f>IF(TITLE_NUMBER_PR_CHANGE="",IF(TITLE_NUMBER_PR="","",TITLE_NUMBER_PR),TITLE_NUMBER_PR_CHANGE)</f>
        <v/>
      </c>
      <c r="AE37" s="2476"/>
      <c r="AF37" s="2476"/>
      <c r="AG37" s="2476"/>
      <c r="AH37" s="2476"/>
      <c r="AI37" s="2476"/>
      <c r="AJ37" s="2476"/>
      <c r="AK37" s="2476"/>
      <c r="AL37" s="2476"/>
      <c r="AM37" s="2476"/>
      <c r="AN37" s="2476"/>
      <c r="AO37" s="2476"/>
      <c r="AP37" s="2476"/>
      <c r="AQ37" s="2476"/>
      <c r="AR37" s="2476"/>
      <c r="AS37" s="2476"/>
      <c r="AT37" s="2476"/>
      <c r="AU37" s="2476"/>
      <c r="AV37" s="2476"/>
      <c r="AW37" s="2476"/>
      <c r="AX37" s="2476"/>
      <c r="AY37" s="2476"/>
      <c r="AZ37" s="2476"/>
      <c r="BA37" s="263"/>
      <c r="BB37" s="263"/>
      <c r="BC37" s="217"/>
      <c r="BD37" s="305"/>
      <c r="BE37" s="305"/>
      <c r="BF37" s="305"/>
      <c r="BG37" s="305"/>
      <c r="BH37" s="305"/>
      <c r="BI37" s="355">
        <v>0</v>
      </c>
    </row>
    <row r="38" spans="1:61" s="2254"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194"/>
      <c r="T39" s="300"/>
      <c r="U39" s="1163"/>
      <c r="V39" s="2477"/>
      <c r="W39" s="2477"/>
      <c r="X39" s="2477"/>
      <c r="Y39" s="2477"/>
      <c r="Z39" s="2477"/>
      <c r="AA39" s="2477"/>
      <c r="AB39" s="2477"/>
      <c r="AC39" s="2477"/>
      <c r="AD39" s="2477"/>
      <c r="AE39" s="2477"/>
      <c r="AF39" s="2477"/>
      <c r="AG39" s="2477"/>
      <c r="AH39" s="2477"/>
      <c r="AI39" s="2477"/>
      <c r="AJ39" s="2477"/>
      <c r="AK39" s="2477"/>
      <c r="AL39" s="2477"/>
      <c r="AM39" s="2477"/>
      <c r="AN39" s="2477"/>
      <c r="AO39" s="2477"/>
      <c r="AP39" s="2477"/>
      <c r="AQ39" s="2477"/>
      <c r="AR39" s="2477"/>
      <c r="AS39" s="2477"/>
      <c r="AT39" s="2477"/>
      <c r="AU39" s="2477"/>
      <c r="AV39" s="2477"/>
      <c r="AW39" s="2477"/>
      <c r="AX39" s="2477"/>
      <c r="AY39" s="2477"/>
      <c r="AZ39" s="2477"/>
      <c r="BA39" s="2477"/>
      <c r="BI39" s="1074">
        <v>14</v>
      </c>
    </row>
    <row r="40" spans="1:61" ht="14.65" customHeight="1">
      <c r="Q40" s="228"/>
      <c r="R40" s="313"/>
      <c r="S40" s="2363" t="s">
        <v>298</v>
      </c>
      <c r="T40" s="2363"/>
      <c r="U40" s="2363"/>
      <c r="V40" s="2363"/>
      <c r="W40" s="2363"/>
      <c r="X40" s="2363"/>
      <c r="Y40" s="2363"/>
      <c r="Z40" s="2363"/>
      <c r="AA40" s="2363"/>
      <c r="AB40" s="2363"/>
      <c r="AC40" s="2363"/>
      <c r="AD40" s="2363"/>
      <c r="AE40" s="2363"/>
      <c r="AF40" s="2363"/>
      <c r="AG40" s="2363"/>
      <c r="AH40" s="2363"/>
      <c r="AI40" s="2363"/>
      <c r="AJ40" s="2363"/>
      <c r="AK40" s="2363"/>
      <c r="AL40" s="2363"/>
      <c r="AM40" s="2363"/>
      <c r="AN40" s="2363"/>
      <c r="AO40" s="2363"/>
      <c r="AP40" s="2363"/>
      <c r="AQ40" s="2363"/>
      <c r="AR40" s="2363"/>
      <c r="AS40" s="2363"/>
      <c r="AT40" s="2363"/>
      <c r="AU40" s="2363"/>
      <c r="AV40" s="2363"/>
      <c r="AW40" s="2363"/>
      <c r="AX40" s="2363"/>
      <c r="AY40" s="2363"/>
      <c r="AZ40" s="2363"/>
      <c r="BA40" s="2363"/>
      <c r="BB40" s="2363"/>
      <c r="BC40" s="2363" t="s">
        <v>299</v>
      </c>
      <c r="BI40" s="1074">
        <v>14</v>
      </c>
    </row>
    <row r="41" spans="1:61" ht="14.65" customHeight="1">
      <c r="Q41" s="228"/>
      <c r="R41" s="313"/>
      <c r="S41" s="2491" t="s">
        <v>87</v>
      </c>
      <c r="T41" s="2442" t="s">
        <v>505</v>
      </c>
      <c r="U41" s="238"/>
      <c r="V41" s="2492" t="s">
        <v>427</v>
      </c>
      <c r="W41" s="2493"/>
      <c r="X41" s="2493"/>
      <c r="Y41" s="2493"/>
      <c r="Z41" s="2493"/>
      <c r="AA41" s="2493"/>
      <c r="AB41" s="2494"/>
      <c r="AC41" s="2495" t="s">
        <v>428</v>
      </c>
      <c r="AD41" s="2528" t="s">
        <v>506</v>
      </c>
      <c r="AE41" s="2509"/>
      <c r="AF41" s="2509"/>
      <c r="AG41" s="2529"/>
      <c r="AH41" s="2528" t="s">
        <v>507</v>
      </c>
      <c r="AI41" s="2509"/>
      <c r="AJ41" s="2509"/>
      <c r="AK41" s="2529"/>
      <c r="AL41" s="2528" t="s">
        <v>508</v>
      </c>
      <c r="AM41" s="2509"/>
      <c r="AN41" s="2509"/>
      <c r="AO41" s="2529"/>
      <c r="AP41" s="2528" t="s">
        <v>509</v>
      </c>
      <c r="AQ41" s="2509"/>
      <c r="AR41" s="2509"/>
      <c r="AS41" s="2529"/>
      <c r="AT41" s="2492" t="s">
        <v>427</v>
      </c>
      <c r="AU41" s="2493"/>
      <c r="AV41" s="2493"/>
      <c r="AW41" s="2493"/>
      <c r="AX41" s="2493"/>
      <c r="AY41" s="2493"/>
      <c r="AZ41" s="2494"/>
      <c r="BA41" s="2495" t="s">
        <v>428</v>
      </c>
      <c r="BB41" s="2498" t="s">
        <v>430</v>
      </c>
      <c r="BC41" s="2363"/>
      <c r="BI41" s="1074">
        <v>14</v>
      </c>
    </row>
    <row r="42" spans="1:61" ht="35.65" customHeight="1">
      <c r="Q42" s="228"/>
      <c r="R42" s="313"/>
      <c r="S42" s="2491"/>
      <c r="T42" s="2442"/>
      <c r="U42" s="955"/>
      <c r="V42" s="2428" t="s">
        <v>510</v>
      </c>
      <c r="W42" s="2429"/>
      <c r="X42" s="2428" t="s">
        <v>511</v>
      </c>
      <c r="Y42" s="2429"/>
      <c r="Z42" s="2428" t="s">
        <v>512</v>
      </c>
      <c r="AA42" s="2523"/>
      <c r="AB42" s="2429"/>
      <c r="AC42" s="2496"/>
      <c r="AD42" s="2530"/>
      <c r="AE42" s="2531"/>
      <c r="AF42" s="2531"/>
      <c r="AG42" s="2532"/>
      <c r="AH42" s="2530"/>
      <c r="AI42" s="2531"/>
      <c r="AJ42" s="2531"/>
      <c r="AK42" s="2532"/>
      <c r="AL42" s="2530"/>
      <c r="AM42" s="2531"/>
      <c r="AN42" s="2531"/>
      <c r="AO42" s="2532"/>
      <c r="AP42" s="2530"/>
      <c r="AQ42" s="2531"/>
      <c r="AR42" s="2531"/>
      <c r="AS42" s="2532"/>
      <c r="AT42" s="2428" t="s">
        <v>510</v>
      </c>
      <c r="AU42" s="2429"/>
      <c r="AV42" s="2428" t="s">
        <v>511</v>
      </c>
      <c r="AW42" s="2429"/>
      <c r="AX42" s="2428" t="s">
        <v>512</v>
      </c>
      <c r="AY42" s="2523"/>
      <c r="AZ42" s="2429"/>
      <c r="BA42" s="2496"/>
      <c r="BB42" s="2499"/>
      <c r="BC42" s="2363"/>
      <c r="BI42" s="1074">
        <v>34</v>
      </c>
    </row>
    <row r="43" spans="1:61" ht="14.65" customHeight="1">
      <c r="Q43" s="228"/>
      <c r="R43" s="313"/>
      <c r="S43" s="2491"/>
      <c r="T43" s="2442"/>
      <c r="U43" s="955"/>
      <c r="V43" s="2433"/>
      <c r="W43" s="2434"/>
      <c r="X43" s="2433"/>
      <c r="Y43" s="2434"/>
      <c r="Z43" s="2433"/>
      <c r="AA43" s="2524"/>
      <c r="AB43" s="2434"/>
      <c r="AC43" s="2496"/>
      <c r="AD43" s="2530"/>
      <c r="AE43" s="2531"/>
      <c r="AF43" s="2531"/>
      <c r="AG43" s="2532"/>
      <c r="AH43" s="2530"/>
      <c r="AI43" s="2531"/>
      <c r="AJ43" s="2531"/>
      <c r="AK43" s="2532"/>
      <c r="AL43" s="2530"/>
      <c r="AM43" s="2531"/>
      <c r="AN43" s="2531"/>
      <c r="AO43" s="2532"/>
      <c r="AP43" s="2530"/>
      <c r="AQ43" s="2531"/>
      <c r="AR43" s="2531"/>
      <c r="AS43" s="2532"/>
      <c r="AT43" s="2433"/>
      <c r="AU43" s="2434"/>
      <c r="AV43" s="2433"/>
      <c r="AW43" s="2434"/>
      <c r="AX43" s="2433"/>
      <c r="AY43" s="2524"/>
      <c r="AZ43" s="2434"/>
      <c r="BA43" s="2496"/>
      <c r="BB43" s="2499"/>
      <c r="BC43" s="2363"/>
      <c r="BI43" s="1074">
        <v>14</v>
      </c>
    </row>
    <row r="44" spans="1:61" ht="14.65" customHeight="1">
      <c r="A44" s="1289"/>
      <c r="B44" s="1289" t="s">
        <v>135</v>
      </c>
      <c r="C44" s="1289" t="s">
        <v>136</v>
      </c>
      <c r="D44" s="1289" t="s">
        <v>137</v>
      </c>
      <c r="E44" s="1283" t="s">
        <v>435</v>
      </c>
      <c r="F44" s="1283" t="s">
        <v>436</v>
      </c>
      <c r="G44" s="1283" t="s">
        <v>437</v>
      </c>
      <c r="H44" s="1283" t="s">
        <v>438</v>
      </c>
      <c r="I44" s="1283" t="s">
        <v>439</v>
      </c>
      <c r="J44" s="1283" t="s">
        <v>440</v>
      </c>
      <c r="K44" s="1283" t="s">
        <v>441</v>
      </c>
      <c r="L44" s="1283" t="s">
        <v>416</v>
      </c>
      <c r="Q44" s="228"/>
      <c r="R44" s="313"/>
      <c r="S44" s="2491"/>
      <c r="T44" s="2442"/>
      <c r="U44" s="239"/>
      <c r="V44" s="1398" t="s">
        <v>476</v>
      </c>
      <c r="W44" s="1398" t="s">
        <v>477</v>
      </c>
      <c r="X44" s="1398" t="s">
        <v>476</v>
      </c>
      <c r="Y44" s="1398" t="s">
        <v>477</v>
      </c>
      <c r="Z44" s="1408" t="s">
        <v>444</v>
      </c>
      <c r="AA44" s="2451" t="s">
        <v>445</v>
      </c>
      <c r="AB44" s="2453"/>
      <c r="AC44" s="2497"/>
      <c r="AD44" s="2533"/>
      <c r="AE44" s="2534"/>
      <c r="AF44" s="2534"/>
      <c r="AG44" s="2535"/>
      <c r="AH44" s="2533"/>
      <c r="AI44" s="2534"/>
      <c r="AJ44" s="2534"/>
      <c r="AK44" s="2535"/>
      <c r="AL44" s="2533"/>
      <c r="AM44" s="2534"/>
      <c r="AN44" s="2534"/>
      <c r="AO44" s="2535"/>
      <c r="AP44" s="2533"/>
      <c r="AQ44" s="2534"/>
      <c r="AR44" s="2534"/>
      <c r="AS44" s="2535"/>
      <c r="AT44" s="1398" t="s">
        <v>476</v>
      </c>
      <c r="AU44" s="1398" t="s">
        <v>477</v>
      </c>
      <c r="AV44" s="1398" t="s">
        <v>476</v>
      </c>
      <c r="AW44" s="1398" t="s">
        <v>477</v>
      </c>
      <c r="AX44" s="1408" t="s">
        <v>444</v>
      </c>
      <c r="AY44" s="2451" t="s">
        <v>445</v>
      </c>
      <c r="AZ44" s="2453"/>
      <c r="BA44" s="2497"/>
      <c r="BB44" s="2500"/>
      <c r="BC44" s="2363"/>
      <c r="BI44" s="1074">
        <v>14</v>
      </c>
    </row>
    <row r="45" spans="1:61" s="2269" customFormat="1" ht="0" hidden="1" customHeight="1">
      <c r="A45" s="1289"/>
      <c r="B45" s="1289"/>
      <c r="C45" s="1289"/>
      <c r="D45" s="1289"/>
      <c r="E45" s="1289"/>
      <c r="F45" s="1289"/>
      <c r="G45" s="1289"/>
      <c r="H45" s="1289"/>
      <c r="I45" s="1289"/>
      <c r="J45" s="1289"/>
      <c r="K45" s="1289"/>
      <c r="L45" s="1283"/>
      <c r="M45" s="1281"/>
      <c r="N45" s="1281"/>
      <c r="O45" s="1281"/>
      <c r="P45" s="447"/>
      <c r="Q45" s="1173"/>
      <c r="R45" s="1173">
        <v>1</v>
      </c>
      <c r="S45" s="1196" t="s">
        <v>108</v>
      </c>
      <c r="T45" s="1174" t="s">
        <v>109</v>
      </c>
      <c r="U45" s="1164" t="str">
        <f ca="1">OFFSET(U45,0,-1)</f>
        <v>2</v>
      </c>
      <c r="V45" s="1401">
        <f t="shared" ref="V45:AA45" ca="1" si="2">OFFSET(V45,0,-1)+1</f>
        <v>3</v>
      </c>
      <c r="W45" s="1401">
        <f t="shared" ca="1" si="2"/>
        <v>4</v>
      </c>
      <c r="X45" s="1401">
        <f t="shared" ca="1" si="2"/>
        <v>5</v>
      </c>
      <c r="Y45" s="1401">
        <f t="shared" ca="1" si="2"/>
        <v>6</v>
      </c>
      <c r="Z45" s="1401">
        <f t="shared" ca="1" si="2"/>
        <v>7</v>
      </c>
      <c r="AA45" s="2490">
        <f t="shared" ca="1" si="2"/>
        <v>8</v>
      </c>
      <c r="AB45" s="2490"/>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490">
        <f ca="1">OFFSET(AY45,0,-1)+1</f>
        <v>3</v>
      </c>
      <c r="AZ45" s="2490"/>
      <c r="BA45" s="1401">
        <f ca="1">OFFSET(BA45,0,-2)+1</f>
        <v>4</v>
      </c>
      <c r="BB45" s="1164">
        <f ca="1">OFFSET(BB45,0,-1)</f>
        <v>4</v>
      </c>
      <c r="BC45" s="1401">
        <f ca="1">OFFSET(BC45,0,-1)+1</f>
        <v>5</v>
      </c>
      <c r="BD45" s="448"/>
      <c r="BE45" s="448"/>
      <c r="BF45" s="448"/>
      <c r="BG45" s="448"/>
      <c r="BH45" s="448"/>
      <c r="BI45" s="433">
        <v>0</v>
      </c>
    </row>
    <row r="46" spans="1:61" ht="21.95" customHeight="1">
      <c r="A46" s="1282" t="s">
        <v>259</v>
      </c>
      <c r="B46" s="1282"/>
      <c r="C46" s="1282"/>
      <c r="D46" s="1282"/>
      <c r="E46" s="2483">
        <v>1</v>
      </c>
      <c r="F46" s="1282"/>
      <c r="G46" s="1282"/>
      <c r="H46" s="1282"/>
      <c r="I46" s="1282"/>
      <c r="J46" s="1282"/>
      <c r="K46" s="1282"/>
      <c r="L46" s="1283"/>
      <c r="M46" s="1284"/>
      <c r="N46" s="1284"/>
      <c r="O46" s="1284"/>
      <c r="P46" s="1328"/>
      <c r="Q46" s="800"/>
      <c r="R46" s="292"/>
      <c r="S46" s="1412">
        <f>INDEX(PT_DIFFERENTIATION_NUM_NTAR,MATCH(A46,PT_DIFFERENTIATION_NTAR_ID,0))</f>
        <v>0</v>
      </c>
      <c r="T46" s="235" t="s">
        <v>123</v>
      </c>
      <c r="U46" s="237"/>
      <c r="V46" s="2470"/>
      <c r="W46" s="2470"/>
      <c r="X46" s="2470"/>
      <c r="Y46" s="2470"/>
      <c r="Z46" s="2470"/>
      <c r="AA46" s="2470"/>
      <c r="AB46" s="2470"/>
      <c r="AC46" s="2471"/>
      <c r="AD46" s="2469" t="str">
        <f>INDEX(PT_DIFFERENTIATION_NTAR,MATCH(A46,PT_DIFFERENTIATION_NTAR_ID,0))</f>
        <v/>
      </c>
      <c r="AE46" s="2470"/>
      <c r="AF46" s="2470"/>
      <c r="AG46" s="2470"/>
      <c r="AH46" s="2470"/>
      <c r="AI46" s="2470"/>
      <c r="AJ46" s="2470"/>
      <c r="AK46" s="2470"/>
      <c r="AL46" s="2470"/>
      <c r="AM46" s="2470"/>
      <c r="AN46" s="2470"/>
      <c r="AO46" s="2470"/>
      <c r="AP46" s="2470"/>
      <c r="AQ46" s="2470"/>
      <c r="AR46" s="2470"/>
      <c r="AS46" s="2470"/>
      <c r="AT46" s="2470"/>
      <c r="AU46" s="2470"/>
      <c r="AV46" s="2470"/>
      <c r="AW46" s="2470"/>
      <c r="AX46" s="2470"/>
      <c r="AY46" s="2470"/>
      <c r="AZ46" s="2470"/>
      <c r="BA46" s="2470"/>
      <c r="BB46" s="2471"/>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74">
        <v>21</v>
      </c>
    </row>
    <row r="47" spans="1:61" ht="21.95" customHeight="1">
      <c r="A47" s="1282" t="s">
        <v>259</v>
      </c>
      <c r="B47" s="1282" t="s">
        <v>260</v>
      </c>
      <c r="C47" s="1282"/>
      <c r="D47" s="1282"/>
      <c r="E47" s="2484"/>
      <c r="F47" s="2483">
        <v>1</v>
      </c>
      <c r="G47" s="1282"/>
      <c r="H47" s="1282"/>
      <c r="I47" s="1282"/>
      <c r="J47" s="1282"/>
      <c r="K47" s="1282"/>
      <c r="L47" s="1283"/>
      <c r="M47" s="1284"/>
      <c r="N47" s="1284"/>
      <c r="O47" s="1284"/>
      <c r="P47" s="1329"/>
      <c r="Q47" s="1330"/>
      <c r="R47" s="290"/>
      <c r="S47" s="1412" t="str">
        <f>INDEX(PT_DIFFERENTIATION_NUM_TER,MATCH(B47,PT_DIFFERENTIATION_TER_ID,0))</f>
        <v>.</v>
      </c>
      <c r="T47" s="245" t="s">
        <v>395</v>
      </c>
      <c r="U47" s="237"/>
      <c r="V47" s="2470"/>
      <c r="W47" s="2470"/>
      <c r="X47" s="2470"/>
      <c r="Y47" s="2470"/>
      <c r="Z47" s="2470"/>
      <c r="AA47" s="2470"/>
      <c r="AB47" s="2470"/>
      <c r="AC47" s="2471"/>
      <c r="AD47" s="2469" t="str">
        <f>INDEX(PT_DIFFERENTIATION_TER,MATCH(B47,PT_DIFFERENTIATION_TER_ID,0))</f>
        <v/>
      </c>
      <c r="AE47" s="2470"/>
      <c r="AF47" s="2470"/>
      <c r="AG47" s="2470"/>
      <c r="AH47" s="2470"/>
      <c r="AI47" s="2470"/>
      <c r="AJ47" s="2470"/>
      <c r="AK47" s="2470"/>
      <c r="AL47" s="2470"/>
      <c r="AM47" s="2470"/>
      <c r="AN47" s="2470"/>
      <c r="AO47" s="2470"/>
      <c r="AP47" s="2470"/>
      <c r="AQ47" s="2470"/>
      <c r="AR47" s="2470"/>
      <c r="AS47" s="2470"/>
      <c r="AT47" s="2470"/>
      <c r="AU47" s="2470"/>
      <c r="AV47" s="2470"/>
      <c r="AW47" s="2470"/>
      <c r="AX47" s="2470"/>
      <c r="AY47" s="2470"/>
      <c r="AZ47" s="2470"/>
      <c r="BA47" s="2470"/>
      <c r="BB47" s="2471"/>
      <c r="BC47" s="1177" t="s">
        <v>396</v>
      </c>
      <c r="BE47" s="437"/>
      <c r="BF47" s="437" t="str">
        <f t="shared" si="3"/>
        <v>Территория действия тарифа</v>
      </c>
      <c r="BG47" s="437"/>
      <c r="BH47" s="437"/>
      <c r="BI47" s="1074">
        <v>21</v>
      </c>
    </row>
    <row r="48" spans="1:61" ht="35.65" customHeight="1">
      <c r="A48" s="1282" t="s">
        <v>259</v>
      </c>
      <c r="B48" s="1282" t="s">
        <v>260</v>
      </c>
      <c r="C48" s="1282" t="s">
        <v>261</v>
      </c>
      <c r="D48" s="1282"/>
      <c r="E48" s="2484"/>
      <c r="F48" s="2484"/>
      <c r="G48" s="2483">
        <v>1</v>
      </c>
      <c r="H48" s="1282"/>
      <c r="I48" s="1282"/>
      <c r="J48" s="1282"/>
      <c r="K48" s="1282"/>
      <c r="L48" s="1283"/>
      <c r="M48" s="1284"/>
      <c r="N48" s="1284"/>
      <c r="O48" s="1284"/>
      <c r="P48" s="1331"/>
      <c r="Q48" s="1330"/>
      <c r="R48" s="290"/>
      <c r="S48" s="1412" t="str">
        <f>INDEX(PT_DIFFERENTIATION_NUM_CS,MATCH(C48,PT_DIFFERENTIATION_CS_ID,0))</f>
        <v>..</v>
      </c>
      <c r="T48" s="246" t="s">
        <v>528</v>
      </c>
      <c r="U48" s="237"/>
      <c r="V48" s="2470"/>
      <c r="W48" s="2470"/>
      <c r="X48" s="2470"/>
      <c r="Y48" s="2470"/>
      <c r="Z48" s="2470"/>
      <c r="AA48" s="2470"/>
      <c r="AB48" s="2470"/>
      <c r="AC48" s="2471"/>
      <c r="AD48" s="2469" t="str">
        <f>INDEX(PT_DIFFERENTIATION_CS,MATCH(C48,PT_DIFFERENTIATION_CS_ID,0))</f>
        <v/>
      </c>
      <c r="AE48" s="2470"/>
      <c r="AF48" s="2470"/>
      <c r="AG48" s="2470"/>
      <c r="AH48" s="2470"/>
      <c r="AI48" s="2470"/>
      <c r="AJ48" s="2470"/>
      <c r="AK48" s="2470"/>
      <c r="AL48" s="2470"/>
      <c r="AM48" s="2470"/>
      <c r="AN48" s="2470"/>
      <c r="AO48" s="2470"/>
      <c r="AP48" s="2470"/>
      <c r="AQ48" s="2470"/>
      <c r="AR48" s="2470"/>
      <c r="AS48" s="2470"/>
      <c r="AT48" s="2470"/>
      <c r="AU48" s="2470"/>
      <c r="AV48" s="2470"/>
      <c r="AW48" s="2470"/>
      <c r="AX48" s="2470"/>
      <c r="AY48" s="2470"/>
      <c r="AZ48" s="2470"/>
      <c r="BA48" s="2470"/>
      <c r="BB48" s="2471"/>
      <c r="BC48" s="1177" t="s">
        <v>529</v>
      </c>
      <c r="BE48" s="437"/>
      <c r="BF48" s="437" t="str">
        <f t="shared" si="3"/>
        <v>Наименование централизованной системы горячего водоснабжения</v>
      </c>
      <c r="BG48" s="437"/>
      <c r="BH48" s="437"/>
      <c r="BI48" s="1074">
        <v>34</v>
      </c>
    </row>
    <row r="49" spans="1:61" s="2245" customFormat="1" ht="0" hidden="1" customHeight="1">
      <c r="A49" s="1262" t="s">
        <v>259</v>
      </c>
      <c r="B49" s="1262" t="s">
        <v>260</v>
      </c>
      <c r="C49" s="1262" t="s">
        <v>261</v>
      </c>
      <c r="D49" s="1262" t="s">
        <v>542</v>
      </c>
      <c r="E49" s="2484"/>
      <c r="F49" s="2484"/>
      <c r="G49" s="2484"/>
      <c r="H49" s="2483">
        <v>1</v>
      </c>
      <c r="I49" s="1262"/>
      <c r="J49" s="1262"/>
      <c r="K49" s="1262"/>
      <c r="L49" s="1265"/>
      <c r="M49" s="1234"/>
      <c r="N49" s="1234"/>
      <c r="O49" s="1234"/>
      <c r="P49" s="1416"/>
      <c r="Q49" s="1417"/>
      <c r="R49" s="294"/>
      <c r="S49" s="966"/>
      <c r="T49" s="1418"/>
      <c r="U49" s="1303"/>
      <c r="V49" s="2513"/>
      <c r="W49" s="2513"/>
      <c r="X49" s="2513"/>
      <c r="Y49" s="2513"/>
      <c r="Z49" s="2513"/>
      <c r="AA49" s="2513"/>
      <c r="AB49" s="2513"/>
      <c r="AC49" s="2514"/>
      <c r="AD49" s="2512"/>
      <c r="AE49" s="2513"/>
      <c r="AF49" s="2513"/>
      <c r="AG49" s="2513"/>
      <c r="AH49" s="2513"/>
      <c r="AI49" s="2513"/>
      <c r="AJ49" s="2513"/>
      <c r="AK49" s="2513"/>
      <c r="AL49" s="2513"/>
      <c r="AM49" s="2513"/>
      <c r="AN49" s="2513"/>
      <c r="AO49" s="2513"/>
      <c r="AP49" s="2513"/>
      <c r="AQ49" s="2513"/>
      <c r="AR49" s="2513"/>
      <c r="AS49" s="2513"/>
      <c r="AT49" s="2513"/>
      <c r="AU49" s="2513"/>
      <c r="AV49" s="2513"/>
      <c r="AW49" s="2513"/>
      <c r="AX49" s="2513"/>
      <c r="AY49" s="2513"/>
      <c r="AZ49" s="2513"/>
      <c r="BA49" s="2513"/>
      <c r="BB49" s="2514"/>
      <c r="BC49" s="1304" t="s">
        <v>400</v>
      </c>
      <c r="BE49" s="437"/>
      <c r="BF49" s="437" t="str">
        <f t="shared" si="3"/>
        <v/>
      </c>
      <c r="BG49" s="437"/>
      <c r="BH49" s="437"/>
      <c r="BI49" s="448">
        <v>0</v>
      </c>
    </row>
    <row r="50" spans="1:61" s="2245" customFormat="1" ht="0" hidden="1" customHeight="1">
      <c r="A50" s="1262" t="s">
        <v>259</v>
      </c>
      <c r="B50" s="1262" t="s">
        <v>260</v>
      </c>
      <c r="C50" s="1262" t="s">
        <v>261</v>
      </c>
      <c r="D50" s="1262" t="s">
        <v>542</v>
      </c>
      <c r="E50" s="2484"/>
      <c r="F50" s="2484"/>
      <c r="G50" s="2484"/>
      <c r="H50" s="2484"/>
      <c r="I50" s="2481" t="str">
        <f>S49&amp;".1"</f>
        <v>.1</v>
      </c>
      <c r="J50" s="1262"/>
      <c r="K50" s="1262"/>
      <c r="L50" s="1265" t="s">
        <v>401</v>
      </c>
      <c r="M50" s="447"/>
      <c r="N50" s="447"/>
      <c r="O50" s="447"/>
      <c r="P50" s="2482">
        <v>1</v>
      </c>
      <c r="Q50" s="1400"/>
      <c r="R50" s="293"/>
      <c r="S50" s="966"/>
      <c r="T50" s="1302"/>
      <c r="U50" s="1303"/>
      <c r="V50" s="2513"/>
      <c r="W50" s="2513"/>
      <c r="X50" s="2513"/>
      <c r="Y50" s="2513"/>
      <c r="Z50" s="2513"/>
      <c r="AA50" s="2513"/>
      <c r="AB50" s="2513"/>
      <c r="AC50" s="2514"/>
      <c r="AD50" s="2512"/>
      <c r="AE50" s="2513"/>
      <c r="AF50" s="2513"/>
      <c r="AG50" s="2513"/>
      <c r="AH50" s="2513"/>
      <c r="AI50" s="2513"/>
      <c r="AJ50" s="2513"/>
      <c r="AK50" s="2513"/>
      <c r="AL50" s="2513"/>
      <c r="AM50" s="2513"/>
      <c r="AN50" s="2513"/>
      <c r="AO50" s="2513"/>
      <c r="AP50" s="2513"/>
      <c r="AQ50" s="2513"/>
      <c r="AR50" s="2513"/>
      <c r="AS50" s="2513"/>
      <c r="AT50" s="2513"/>
      <c r="AU50" s="2513"/>
      <c r="AV50" s="2513"/>
      <c r="AW50" s="2513"/>
      <c r="AX50" s="2513"/>
      <c r="AY50" s="2513"/>
      <c r="AZ50" s="2513"/>
      <c r="BA50" s="2513"/>
      <c r="BB50" s="2514"/>
      <c r="BC50" s="1304"/>
      <c r="BE50" s="437"/>
      <c r="BF50" s="437" t="str">
        <f t="shared" si="3"/>
        <v/>
      </c>
      <c r="BG50" s="437"/>
      <c r="BH50" s="437"/>
      <c r="BI50" s="448">
        <v>0</v>
      </c>
    </row>
    <row r="51" spans="1:61" s="2245" customFormat="1" ht="0" hidden="1" customHeight="1">
      <c r="A51" s="1262" t="s">
        <v>259</v>
      </c>
      <c r="B51" s="1262" t="s">
        <v>260</v>
      </c>
      <c r="C51" s="1262" t="s">
        <v>261</v>
      </c>
      <c r="D51" s="1262" t="s">
        <v>542</v>
      </c>
      <c r="E51" s="2484"/>
      <c r="F51" s="2484"/>
      <c r="G51" s="2484"/>
      <c r="H51" s="2484"/>
      <c r="I51" s="2504"/>
      <c r="J51" s="2481" t="str">
        <f>S49&amp;".1"</f>
        <v>.1</v>
      </c>
      <c r="K51" s="1262"/>
      <c r="L51" s="1265"/>
      <c r="M51" s="447"/>
      <c r="N51" s="447"/>
      <c r="O51" s="447"/>
      <c r="P51" s="2482"/>
      <c r="Q51" s="2482">
        <v>1</v>
      </c>
      <c r="R51" s="294"/>
      <c r="S51" s="966"/>
      <c r="T51" s="1318"/>
      <c r="U51" s="1303"/>
      <c r="V51" s="2513"/>
      <c r="W51" s="2513"/>
      <c r="X51" s="2513"/>
      <c r="Y51" s="2513"/>
      <c r="Z51" s="2513"/>
      <c r="AA51" s="2513"/>
      <c r="AB51" s="2513"/>
      <c r="AC51" s="2514"/>
      <c r="AD51" s="2512"/>
      <c r="AE51" s="2513"/>
      <c r="AF51" s="2513"/>
      <c r="AG51" s="2513"/>
      <c r="AH51" s="2513"/>
      <c r="AI51" s="2513"/>
      <c r="AJ51" s="2513"/>
      <c r="AK51" s="2513"/>
      <c r="AL51" s="2513"/>
      <c r="AM51" s="2513"/>
      <c r="AN51" s="2564"/>
      <c r="AO51" s="2564"/>
      <c r="AP51" s="2513"/>
      <c r="AQ51" s="2513"/>
      <c r="AR51" s="2513"/>
      <c r="AS51" s="2513"/>
      <c r="AT51" s="2513"/>
      <c r="AU51" s="2513"/>
      <c r="AV51" s="2513"/>
      <c r="AW51" s="2513"/>
      <c r="AX51" s="2513"/>
      <c r="AY51" s="2513"/>
      <c r="AZ51" s="2513"/>
      <c r="BA51" s="2513"/>
      <c r="BB51" s="2514"/>
      <c r="BC51" s="1304"/>
      <c r="BE51" s="437"/>
      <c r="BF51" s="437" t="str">
        <f t="shared" si="3"/>
        <v/>
      </c>
      <c r="BG51" s="437"/>
      <c r="BH51" s="437"/>
      <c r="BI51" s="448">
        <v>0</v>
      </c>
    </row>
    <row r="52" spans="1:61" ht="11.45" customHeight="1">
      <c r="A52" s="1282" t="s">
        <v>259</v>
      </c>
      <c r="B52" s="1282" t="s">
        <v>260</v>
      </c>
      <c r="C52" s="1282" t="s">
        <v>261</v>
      </c>
      <c r="D52" s="1282" t="s">
        <v>542</v>
      </c>
      <c r="E52" s="2484"/>
      <c r="F52" s="2484"/>
      <c r="G52" s="2484"/>
      <c r="H52" s="2484"/>
      <c r="I52" s="2504"/>
      <c r="J52" s="2504"/>
      <c r="K52" s="2481" t="str">
        <f>S48&amp;".1"</f>
        <v>...1</v>
      </c>
      <c r="L52" s="1283"/>
      <c r="P52" s="2482"/>
      <c r="Q52" s="2482"/>
      <c r="R52" s="294">
        <v>1</v>
      </c>
      <c r="S52" s="2541" t="str">
        <f>$K52</f>
        <v>...1</v>
      </c>
      <c r="T52" s="2560"/>
      <c r="U52" s="237"/>
      <c r="V52" s="688"/>
      <c r="W52" s="1176"/>
      <c r="X52" s="688"/>
      <c r="Y52" s="1176"/>
      <c r="Z52" s="1652"/>
      <c r="AA52" s="1388" t="s">
        <v>64</v>
      </c>
      <c r="AB52" s="1652"/>
      <c r="AC52" s="1388" t="s">
        <v>64</v>
      </c>
      <c r="AD52" s="2421" t="s">
        <v>64</v>
      </c>
      <c r="AE52" s="2526"/>
      <c r="AF52" s="2438">
        <v>1</v>
      </c>
      <c r="AG52" s="2563"/>
      <c r="AH52" s="2344" t="s">
        <v>64</v>
      </c>
      <c r="AI52" s="2526"/>
      <c r="AJ52" s="2438">
        <v>1</v>
      </c>
      <c r="AK52" s="2527" t="s">
        <v>22</v>
      </c>
      <c r="AL52" s="2344" t="s">
        <v>64</v>
      </c>
      <c r="AM52" s="2428"/>
      <c r="AN52" s="2438">
        <v>1</v>
      </c>
      <c r="AO52" s="2557"/>
      <c r="AP52" s="2558" t="s">
        <v>64</v>
      </c>
      <c r="AQ52" s="248"/>
      <c r="AR52" s="1405">
        <v>1</v>
      </c>
      <c r="AS52" s="1411" t="s">
        <v>22</v>
      </c>
      <c r="AT52" s="688"/>
      <c r="AU52" s="1176"/>
      <c r="AV52" s="688"/>
      <c r="AW52" s="1176"/>
      <c r="AX52" s="1652"/>
      <c r="AY52" s="1388" t="s">
        <v>64</v>
      </c>
      <c r="AZ52" s="1652"/>
      <c r="BA52" s="1388" t="s">
        <v>64</v>
      </c>
      <c r="BB52" s="1267"/>
      <c r="BC52" s="2478" t="s">
        <v>499</v>
      </c>
      <c r="BE52" s="437"/>
      <c r="BF52" s="437" t="str">
        <f t="shared" si="3"/>
        <v/>
      </c>
      <c r="BG52" s="437"/>
      <c r="BH52" s="437"/>
      <c r="BI52" s="1074">
        <v>11</v>
      </c>
    </row>
    <row r="53" spans="1:61" ht="11.45" customHeight="1">
      <c r="A53" s="1282"/>
      <c r="B53" s="1282"/>
      <c r="C53" s="1282"/>
      <c r="D53" s="1282"/>
      <c r="E53" s="2484"/>
      <c r="F53" s="2484"/>
      <c r="G53" s="2484"/>
      <c r="H53" s="2484"/>
      <c r="I53" s="2504"/>
      <c r="J53" s="2504"/>
      <c r="K53" s="2481"/>
      <c r="L53" s="1283"/>
      <c r="P53" s="2482"/>
      <c r="Q53" s="2482"/>
      <c r="R53" s="294"/>
      <c r="S53" s="2542"/>
      <c r="T53" s="2561"/>
      <c r="U53" s="237"/>
      <c r="V53" s="1312"/>
      <c r="W53" s="1415"/>
      <c r="X53" s="1312"/>
      <c r="Y53" s="1415"/>
      <c r="Z53" s="1312"/>
      <c r="AA53" s="1312"/>
      <c r="AB53" s="1312"/>
      <c r="AC53" s="1312"/>
      <c r="AD53" s="2422"/>
      <c r="AE53" s="2526"/>
      <c r="AF53" s="2438"/>
      <c r="AG53" s="2563"/>
      <c r="AH53" s="2344"/>
      <c r="AI53" s="2526"/>
      <c r="AJ53" s="2438"/>
      <c r="AK53" s="2527"/>
      <c r="AL53" s="2344"/>
      <c r="AM53" s="2433"/>
      <c r="AN53" s="2438"/>
      <c r="AO53" s="2557"/>
      <c r="AP53" s="2559"/>
      <c r="AQ53" s="253"/>
      <c r="AR53" s="353"/>
      <c r="AS53" s="353" t="s">
        <v>500</v>
      </c>
      <c r="AT53" s="1312"/>
      <c r="AU53" s="1415"/>
      <c r="AV53" s="1312"/>
      <c r="AW53" s="1415"/>
      <c r="AX53" s="1312"/>
      <c r="AY53" s="1312"/>
      <c r="AZ53" s="1312"/>
      <c r="BA53" s="1312"/>
      <c r="BB53" s="1316"/>
      <c r="BC53" s="2479"/>
      <c r="BE53" s="437"/>
      <c r="BF53" s="437"/>
      <c r="BG53" s="437"/>
      <c r="BH53" s="437"/>
      <c r="BI53" s="1074">
        <v>11</v>
      </c>
    </row>
    <row r="54" spans="1:61" ht="11.45" customHeight="1">
      <c r="A54" s="1282" t="s">
        <v>259</v>
      </c>
      <c r="B54" s="1282"/>
      <c r="C54" s="1282"/>
      <c r="D54" s="1282"/>
      <c r="E54" s="2484"/>
      <c r="F54" s="2484"/>
      <c r="G54" s="2484"/>
      <c r="H54" s="2484"/>
      <c r="I54" s="2504"/>
      <c r="J54" s="2504"/>
      <c r="K54" s="2481"/>
      <c r="L54" s="1283"/>
      <c r="P54" s="2482"/>
      <c r="Q54" s="2482"/>
      <c r="R54" s="294"/>
      <c r="S54" s="2542"/>
      <c r="T54" s="2561"/>
      <c r="U54" s="237"/>
      <c r="V54" s="1312"/>
      <c r="W54" s="1415"/>
      <c r="X54" s="1312"/>
      <c r="Y54" s="1415"/>
      <c r="Z54" s="1312"/>
      <c r="AA54" s="1312"/>
      <c r="AB54" s="1312"/>
      <c r="AC54" s="1312"/>
      <c r="AD54" s="2422"/>
      <c r="AE54" s="2526"/>
      <c r="AF54" s="2438"/>
      <c r="AG54" s="2563"/>
      <c r="AH54" s="2344"/>
      <c r="AI54" s="2526"/>
      <c r="AJ54" s="2438"/>
      <c r="AK54" s="2527"/>
      <c r="AL54" s="2344"/>
      <c r="AM54" s="253"/>
      <c r="AN54" s="1419"/>
      <c r="AO54" s="1419" t="s">
        <v>501</v>
      </c>
      <c r="AP54" s="353"/>
      <c r="AQ54" s="353"/>
      <c r="AR54" s="353"/>
      <c r="AS54" s="1312"/>
      <c r="AT54" s="1312"/>
      <c r="AU54" s="1415"/>
      <c r="AV54" s="1312"/>
      <c r="AW54" s="1415"/>
      <c r="AX54" s="1312"/>
      <c r="AY54" s="1312"/>
      <c r="AZ54" s="1312"/>
      <c r="BA54" s="1312"/>
      <c r="BB54" s="1316"/>
      <c r="BC54" s="2479"/>
      <c r="BE54" s="437"/>
      <c r="BF54" s="437"/>
      <c r="BG54" s="437"/>
      <c r="BH54" s="437"/>
      <c r="BI54" s="1074">
        <v>11</v>
      </c>
    </row>
    <row r="55" spans="1:61" ht="11.45" customHeight="1">
      <c r="A55" s="1282" t="s">
        <v>259</v>
      </c>
      <c r="B55" s="1282"/>
      <c r="C55" s="1282"/>
      <c r="D55" s="1282"/>
      <c r="E55" s="2484"/>
      <c r="F55" s="2484"/>
      <c r="G55" s="2484"/>
      <c r="H55" s="2484"/>
      <c r="I55" s="2504"/>
      <c r="J55" s="2504"/>
      <c r="K55" s="2481"/>
      <c r="L55" s="1283"/>
      <c r="P55" s="2482"/>
      <c r="Q55" s="2482"/>
      <c r="R55" s="294"/>
      <c r="S55" s="2542"/>
      <c r="T55" s="2561"/>
      <c r="U55" s="237"/>
      <c r="V55" s="1312"/>
      <c r="W55" s="1415"/>
      <c r="X55" s="1312"/>
      <c r="Y55" s="1415"/>
      <c r="Z55" s="1312"/>
      <c r="AA55" s="1312"/>
      <c r="AB55" s="1312"/>
      <c r="AC55" s="1312"/>
      <c r="AD55" s="2422"/>
      <c r="AE55" s="2526"/>
      <c r="AF55" s="2438"/>
      <c r="AG55" s="2563"/>
      <c r="AH55" s="2344"/>
      <c r="AI55" s="231"/>
      <c r="AJ55" s="352"/>
      <c r="AK55" s="250" t="s">
        <v>502</v>
      </c>
      <c r="AL55" s="1312"/>
      <c r="AM55" s="1312"/>
      <c r="AN55" s="1312"/>
      <c r="AO55" s="1312"/>
      <c r="AP55" s="1312"/>
      <c r="AQ55" s="1312"/>
      <c r="AR55" s="1312"/>
      <c r="AS55" s="1312"/>
      <c r="AT55" s="1312"/>
      <c r="AU55" s="1415"/>
      <c r="AV55" s="1312"/>
      <c r="AW55" s="1415"/>
      <c r="AX55" s="1312"/>
      <c r="AY55" s="1312"/>
      <c r="AZ55" s="1312"/>
      <c r="BA55" s="1312"/>
      <c r="BB55" s="1316"/>
      <c r="BC55" s="2479"/>
      <c r="BE55" s="437"/>
      <c r="BF55" s="437"/>
      <c r="BG55" s="437"/>
      <c r="BH55" s="437"/>
      <c r="BI55" s="1074">
        <v>11</v>
      </c>
    </row>
    <row r="56" spans="1:61" ht="11.45" customHeight="1">
      <c r="A56" s="1282" t="s">
        <v>259</v>
      </c>
      <c r="B56" s="1282" t="s">
        <v>260</v>
      </c>
      <c r="C56" s="1282" t="s">
        <v>261</v>
      </c>
      <c r="D56" s="1282" t="s">
        <v>542</v>
      </c>
      <c r="E56" s="2484"/>
      <c r="F56" s="2484"/>
      <c r="G56" s="2484"/>
      <c r="H56" s="2484"/>
      <c r="I56" s="2504"/>
      <c r="J56" s="2504"/>
      <c r="K56" s="2481"/>
      <c r="L56" s="1283"/>
      <c r="P56" s="2482"/>
      <c r="Q56" s="2482"/>
      <c r="R56" s="294"/>
      <c r="S56" s="2543"/>
      <c r="T56" s="2562"/>
      <c r="U56" s="237"/>
      <c r="V56" s="1312"/>
      <c r="W56" s="1313" t="str">
        <f>Z52&amp;"-"&amp;AB52</f>
        <v>-</v>
      </c>
      <c r="X56" s="1312"/>
      <c r="Y56" s="1313" t="str">
        <f>AB52&amp;"-"&amp;AD52</f>
        <v>-да</v>
      </c>
      <c r="Z56" s="1312"/>
      <c r="AA56" s="1312"/>
      <c r="AB56" s="1312"/>
      <c r="AC56" s="1312"/>
      <c r="AD56" s="2349"/>
      <c r="AE56" s="249"/>
      <c r="AF56" s="251"/>
      <c r="AG56" s="353" t="s">
        <v>503</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479"/>
      <c r="BE56" s="437"/>
      <c r="BF56" s="437" t="str">
        <f t="shared" ref="BF56:BF63" si="4">IF(T56="","",T56)</f>
        <v/>
      </c>
      <c r="BG56" s="437"/>
      <c r="BH56" s="437"/>
      <c r="BI56" s="1074">
        <v>11</v>
      </c>
    </row>
    <row r="57" spans="1:61" ht="11.45" customHeight="1">
      <c r="A57" s="1282" t="s">
        <v>259</v>
      </c>
      <c r="B57" s="1282" t="s">
        <v>260</v>
      </c>
      <c r="C57" s="1282" t="s">
        <v>261</v>
      </c>
      <c r="D57" s="1282" t="s">
        <v>542</v>
      </c>
      <c r="E57" s="2484"/>
      <c r="F57" s="2484"/>
      <c r="G57" s="2484"/>
      <c r="H57" s="2484"/>
      <c r="I57" s="2504"/>
      <c r="J57" s="2481"/>
      <c r="K57" s="1282"/>
      <c r="L57" s="1283"/>
      <c r="P57" s="2482"/>
      <c r="Q57" s="2482"/>
      <c r="R57" s="293"/>
      <c r="S57" s="1197"/>
      <c r="T57" s="224" t="s">
        <v>466</v>
      </c>
      <c r="U57" s="304"/>
      <c r="V57" s="304"/>
      <c r="W57" s="304"/>
      <c r="X57" s="304"/>
      <c r="Y57" s="304"/>
      <c r="Z57" s="304"/>
      <c r="AA57" s="304"/>
      <c r="AB57" s="304"/>
      <c r="AC57" s="261"/>
      <c r="AD57" s="1424"/>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480"/>
      <c r="BE57" s="437"/>
      <c r="BF57" s="437" t="str">
        <f t="shared" si="4"/>
        <v>Добавить строку</v>
      </c>
      <c r="BG57" s="437"/>
      <c r="BH57" s="437"/>
      <c r="BI57" s="1074">
        <v>11</v>
      </c>
    </row>
    <row r="58" spans="1:61" s="2245" customFormat="1" ht="0" hidden="1" customHeight="1">
      <c r="A58" s="1262" t="s">
        <v>259</v>
      </c>
      <c r="B58" s="1262" t="s">
        <v>260</v>
      </c>
      <c r="C58" s="1262" t="s">
        <v>261</v>
      </c>
      <c r="D58" s="1262" t="s">
        <v>542</v>
      </c>
      <c r="E58" s="2484"/>
      <c r="F58" s="2484"/>
      <c r="G58" s="2484"/>
      <c r="H58" s="2484"/>
      <c r="I58" s="2481"/>
      <c r="J58" s="1262"/>
      <c r="K58" s="1262"/>
      <c r="L58" s="1265"/>
      <c r="M58" s="447"/>
      <c r="N58" s="447"/>
      <c r="O58" s="447"/>
      <c r="P58" s="2482"/>
      <c r="Q58" s="1400"/>
      <c r="R58" s="293"/>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7"/>
      <c r="BF58" s="437" t="str">
        <f t="shared" si="4"/>
        <v/>
      </c>
      <c r="BG58" s="437"/>
      <c r="BH58" s="437"/>
      <c r="BI58" s="448">
        <v>0</v>
      </c>
    </row>
    <row r="59" spans="1:61" s="2245" customFormat="1" ht="0" hidden="1" customHeight="1">
      <c r="A59" s="1262" t="s">
        <v>259</v>
      </c>
      <c r="B59" s="1262" t="s">
        <v>260</v>
      </c>
      <c r="C59" s="1262" t="s">
        <v>261</v>
      </c>
      <c r="D59" s="1262" t="s">
        <v>542</v>
      </c>
      <c r="E59" s="2484"/>
      <c r="F59" s="2484"/>
      <c r="G59" s="2484"/>
      <c r="H59" s="2483"/>
      <c r="I59" s="1262"/>
      <c r="J59" s="1262"/>
      <c r="K59" s="1262"/>
      <c r="L59" s="1265"/>
      <c r="M59" s="1234"/>
      <c r="N59" s="1234"/>
      <c r="O59" s="455"/>
      <c r="P59" s="317"/>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7"/>
      <c r="BF59" s="437" t="str">
        <f t="shared" si="4"/>
        <v/>
      </c>
      <c r="BG59" s="437"/>
      <c r="BH59" s="437"/>
      <c r="BI59" s="448">
        <v>0</v>
      </c>
    </row>
    <row r="60" spans="1:61" s="2245" customFormat="1" ht="0" hidden="1" customHeight="1">
      <c r="A60" s="1262" t="s">
        <v>259</v>
      </c>
      <c r="B60" s="1262" t="s">
        <v>260</v>
      </c>
      <c r="C60" s="1262" t="s">
        <v>261</v>
      </c>
      <c r="D60" s="1233"/>
      <c r="E60" s="2484"/>
      <c r="F60" s="2484"/>
      <c r="G60" s="2483"/>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20"/>
      <c r="BF60" s="720" t="str">
        <f t="shared" si="4"/>
        <v/>
      </c>
      <c r="BG60" s="720"/>
      <c r="BH60" s="720"/>
      <c r="BI60" s="455">
        <v>0</v>
      </c>
    </row>
    <row r="61" spans="1:61" s="2245" customFormat="1" ht="0" hidden="1" customHeight="1">
      <c r="A61" s="1262" t="s">
        <v>259</v>
      </c>
      <c r="B61" s="1262" t="s">
        <v>260</v>
      </c>
      <c r="C61" s="1233"/>
      <c r="D61" s="1233"/>
      <c r="E61" s="2484"/>
      <c r="F61" s="2483"/>
      <c r="G61" s="1233"/>
      <c r="H61" s="1233"/>
      <c r="I61" s="1233"/>
      <c r="J61" s="1233"/>
      <c r="K61" s="1233"/>
      <c r="L61" s="1413"/>
      <c r="M61" s="1240"/>
      <c r="N61" s="1240"/>
      <c r="P61" s="1235"/>
      <c r="Q61" s="1236"/>
      <c r="R61" s="1235"/>
      <c r="S61" s="1241"/>
      <c r="T61" s="1244" t="s">
        <v>413</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20"/>
      <c r="BF61" s="720" t="str">
        <f t="shared" si="4"/>
        <v>Добавить централизованную систему для дифференциации</v>
      </c>
      <c r="BG61" s="720"/>
      <c r="BH61" s="720"/>
      <c r="BI61" s="455">
        <v>0</v>
      </c>
    </row>
    <row r="62" spans="1:61" s="2245" customFormat="1" ht="0" hidden="1" customHeight="1">
      <c r="A62" s="1262" t="s">
        <v>259</v>
      </c>
      <c r="B62" s="1262"/>
      <c r="C62" s="1262"/>
      <c r="D62" s="1262"/>
      <c r="E62" s="2483"/>
      <c r="F62" s="1262"/>
      <c r="G62" s="1262"/>
      <c r="H62" s="1262"/>
      <c r="I62" s="1262"/>
      <c r="J62" s="1262"/>
      <c r="K62" s="1262"/>
      <c r="L62" s="1265"/>
      <c r="M62" s="1240"/>
      <c r="N62" s="1240"/>
      <c r="O62" s="455"/>
      <c r="P62" s="317"/>
      <c r="Q62" s="1263"/>
      <c r="R62" s="317"/>
      <c r="S62" s="1241"/>
      <c r="T62" s="1244" t="s">
        <v>414</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7"/>
      <c r="BF62" s="437" t="str">
        <f t="shared" si="4"/>
        <v>Добавить территорию для дифференциации</v>
      </c>
      <c r="BG62" s="437"/>
      <c r="BH62" s="437"/>
      <c r="BI62" s="448">
        <v>0</v>
      </c>
    </row>
    <row r="63" spans="1:61" s="2245"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446</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20"/>
      <c r="BF63" s="720" t="str">
        <f t="shared" si="4"/>
        <v>Добавить наименование тарифа</v>
      </c>
      <c r="BG63" s="720"/>
      <c r="BH63" s="720"/>
      <c r="BI63" s="455">
        <v>0</v>
      </c>
    </row>
    <row r="64" spans="1:61" ht="11.45" customHeight="1">
      <c r="M64" s="1079"/>
      <c r="N64" s="1079"/>
      <c r="O64" s="474"/>
      <c r="P64" s="1079"/>
      <c r="Q64" s="1079"/>
      <c r="R64" s="1074"/>
      <c r="S64" s="1074"/>
      <c r="BD64" s="1074"/>
      <c r="BE64" s="1074"/>
      <c r="BF64" s="1074"/>
      <c r="BG64" s="1074"/>
      <c r="BH64" s="1074"/>
      <c r="BI64" s="1074">
        <v>11</v>
      </c>
    </row>
    <row r="65" spans="1:61" ht="19.899999999999999" customHeight="1">
      <c r="O65" s="474"/>
      <c r="S65" s="1172"/>
      <c r="T65" s="2503"/>
      <c r="U65" s="2503"/>
      <c r="V65" s="2503"/>
      <c r="W65" s="2503"/>
      <c r="X65" s="2503"/>
      <c r="Y65" s="2503"/>
      <c r="Z65" s="2503"/>
      <c r="AA65" s="2503"/>
      <c r="AB65" s="2503"/>
      <c r="AC65" s="2503"/>
      <c r="AD65" s="2503"/>
      <c r="AE65" s="2503"/>
      <c r="AF65" s="2503"/>
      <c r="AG65" s="2503"/>
      <c r="AH65" s="2503"/>
      <c r="AI65" s="2503"/>
      <c r="AJ65" s="2503"/>
      <c r="AK65" s="2503"/>
      <c r="AL65" s="2503"/>
      <c r="AM65" s="2503"/>
      <c r="AN65" s="2503"/>
      <c r="AO65" s="2503"/>
      <c r="AP65" s="2503"/>
      <c r="AQ65" s="2503"/>
      <c r="AR65" s="2503"/>
      <c r="AS65" s="2503"/>
      <c r="AT65" s="2503"/>
      <c r="AU65" s="2503"/>
      <c r="AV65" s="2503"/>
      <c r="AW65" s="2503"/>
      <c r="AX65" s="2503"/>
      <c r="AY65" s="2503"/>
      <c r="AZ65" s="2503"/>
      <c r="BA65" s="2503"/>
      <c r="BB65" s="2503"/>
      <c r="BC65" s="2503"/>
      <c r="BI65" s="1074">
        <v>19</v>
      </c>
    </row>
    <row r="66" spans="1:61" ht="14.65" customHeight="1">
      <c r="O66" s="474"/>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9.899999999999999" customHeight="1">
      <c r="O67" s="474"/>
      <c r="S67" s="1172"/>
      <c r="T67" s="2503"/>
      <c r="U67" s="2503"/>
      <c r="V67" s="2503"/>
      <c r="W67" s="2503"/>
      <c r="X67" s="2503"/>
      <c r="Y67" s="2503"/>
      <c r="Z67" s="2503"/>
      <c r="AA67" s="2503"/>
      <c r="AB67" s="2503"/>
      <c r="AC67" s="2503"/>
      <c r="AD67" s="2503"/>
      <c r="AE67" s="2503"/>
      <c r="AF67" s="2503"/>
      <c r="AG67" s="2503"/>
      <c r="AH67" s="2503"/>
      <c r="AI67" s="2503"/>
      <c r="AJ67" s="2503"/>
      <c r="AK67" s="2503"/>
      <c r="AL67" s="2503"/>
      <c r="AM67" s="2503"/>
      <c r="AN67" s="2503"/>
      <c r="AO67" s="2503"/>
      <c r="AP67" s="2503"/>
      <c r="AQ67" s="2503"/>
      <c r="AR67" s="2503"/>
      <c r="AS67" s="2503"/>
      <c r="AT67" s="2503"/>
      <c r="AU67" s="2503"/>
      <c r="AV67" s="2503"/>
      <c r="AW67" s="2503"/>
      <c r="AX67" s="2503"/>
      <c r="AY67" s="2503"/>
      <c r="AZ67" s="2503"/>
      <c r="BA67" s="2503"/>
      <c r="BB67" s="2503"/>
      <c r="BC67" s="2503"/>
      <c r="BI67" s="1074">
        <v>19</v>
      </c>
    </row>
    <row r="68" spans="1:61" ht="14.65" customHeight="1">
      <c r="O68" s="474"/>
      <c r="BI68" s="1074">
        <v>14</v>
      </c>
    </row>
    <row r="69" spans="1:61" ht="14.25" hidden="1" customHeight="1">
      <c r="A69" s="1079" t="s">
        <v>81</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8">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8">
        <v>10</v>
      </c>
      <c r="BE69" s="448">
        <v>10</v>
      </c>
      <c r="BF69" s="448">
        <v>10</v>
      </c>
      <c r="BG69" s="448">
        <v>10</v>
      </c>
      <c r="BH69" s="448">
        <v>10</v>
      </c>
      <c r="BI69" s="1074">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F304"/>
  <sheetViews>
    <sheetView showGridLines="0" topLeftCell="D71" zoomScale="90" workbookViewId="0">
      <selection activeCell="D20" sqref="D20:J113"/>
    </sheetView>
  </sheetViews>
  <sheetFormatPr defaultColWidth="9.140625" defaultRowHeight="11.25" customHeight="1"/>
  <cols>
    <col min="1" max="1" width="10.7109375" style="2279" hidden="1" customWidth="1"/>
    <col min="2" max="2" width="16.85546875" style="2244" hidden="1" customWidth="1"/>
    <col min="3" max="3" width="5.5703125" style="2245" hidden="1" customWidth="1"/>
    <col min="4" max="4" width="3" style="2238" customWidth="1"/>
    <col min="5" max="5" width="7" style="2238" customWidth="1"/>
    <col min="6" max="6" width="54" style="2238" customWidth="1"/>
    <col min="7" max="7" width="10" style="2238" customWidth="1"/>
    <col min="8" max="8" width="40.7109375" style="2238" hidden="1" customWidth="1"/>
    <col min="9" max="9" width="40.7109375" style="2238" customWidth="1"/>
    <col min="10" max="10" width="40.28515625" style="2238" customWidth="1"/>
    <col min="11" max="11" width="9" style="2244" customWidth="1"/>
    <col min="12" max="12" width="5" style="2245" customWidth="1"/>
    <col min="13" max="13" width="3" style="2245" customWidth="1"/>
    <col min="14" max="17" width="3" style="2244" customWidth="1"/>
    <col min="18" max="18" width="10" style="2245" customWidth="1"/>
    <col min="19" max="19" width="34" style="2244" customWidth="1"/>
    <col min="20" max="20" width="9" style="2244" customWidth="1"/>
    <col min="21" max="21" width="8" style="2280" customWidth="1"/>
    <col min="22" max="26" width="8" style="2244" customWidth="1"/>
    <col min="27" max="31" width="8" style="2236" customWidth="1"/>
    <col min="32" max="32" width="9.140625" style="2238" hidden="1"/>
  </cols>
  <sheetData>
    <row r="1" spans="1:32" ht="22.5" hidden="1" customHeight="1">
      <c r="AF1" s="1550" t="s">
        <v>14</v>
      </c>
    </row>
    <row r="2" spans="1:32" ht="23.25" hidden="1" customHeight="1">
      <c r="B2" s="2338"/>
      <c r="C2" s="1086" t="s">
        <v>543</v>
      </c>
      <c r="D2" s="1557"/>
      <c r="E2" s="483">
        <f>B2</f>
        <v>0</v>
      </c>
      <c r="F2" s="484"/>
      <c r="G2" s="1565" t="s">
        <v>544</v>
      </c>
      <c r="H2" s="1565" t="s">
        <v>544</v>
      </c>
      <c r="I2" s="1565" t="s">
        <v>544</v>
      </c>
      <c r="J2" s="226" t="s">
        <v>545</v>
      </c>
      <c r="K2" s="480"/>
      <c r="AF2" s="1550">
        <v>0</v>
      </c>
    </row>
    <row r="3" spans="1:32" s="2245" customFormat="1" ht="0.75" hidden="1" customHeight="1">
      <c r="B3" s="2338"/>
      <c r="C3" s="1086"/>
      <c r="D3" s="485"/>
      <c r="E3" s="486"/>
      <c r="F3" s="487" t="s">
        <v>546</v>
      </c>
      <c r="G3" s="488"/>
      <c r="H3" s="937">
        <f>H4*H5+H6</f>
        <v>0</v>
      </c>
      <c r="I3" s="488">
        <f>I4*I5+I6</f>
        <v>0</v>
      </c>
      <c r="J3" s="489"/>
      <c r="AF3" s="1555">
        <v>0</v>
      </c>
    </row>
    <row r="4" spans="1:32" ht="23.25" hidden="1" customHeight="1">
      <c r="B4" s="2338"/>
      <c r="C4" s="1086"/>
      <c r="D4" s="1557"/>
      <c r="E4" s="483" t="str">
        <f>B2&amp;".1"</f>
        <v>.1</v>
      </c>
      <c r="F4" s="490" t="s">
        <v>547</v>
      </c>
      <c r="G4" s="491"/>
      <c r="H4" s="478"/>
      <c r="I4" s="478"/>
      <c r="J4" s="226" t="s">
        <v>548</v>
      </c>
      <c r="K4" s="480"/>
      <c r="AF4" s="1550">
        <v>0</v>
      </c>
    </row>
    <row r="5" spans="1:32" ht="18.75" hidden="1" customHeight="1">
      <c r="B5" s="2338"/>
      <c r="C5" s="1086"/>
      <c r="D5" s="1557"/>
      <c r="E5" s="483" t="str">
        <f>B2&amp;".2"</f>
        <v>.2</v>
      </c>
      <c r="F5" s="490" t="s">
        <v>549</v>
      </c>
      <c r="G5" s="1565" t="s">
        <v>550</v>
      </c>
      <c r="H5" s="478"/>
      <c r="I5" s="478"/>
      <c r="J5" s="226"/>
      <c r="K5" s="480"/>
      <c r="AF5" s="1550">
        <v>0</v>
      </c>
    </row>
    <row r="6" spans="1:32" ht="18.75" hidden="1" customHeight="1">
      <c r="B6" s="2338"/>
      <c r="C6" s="1086"/>
      <c r="D6" s="1557"/>
      <c r="E6" s="483" t="str">
        <f>B2&amp;".3"</f>
        <v>.3</v>
      </c>
      <c r="F6" s="490" t="s">
        <v>551</v>
      </c>
      <c r="G6" s="1565" t="s">
        <v>550</v>
      </c>
      <c r="H6" s="478"/>
      <c r="I6" s="478"/>
      <c r="J6" s="226"/>
      <c r="K6" s="480"/>
      <c r="AF6" s="1550">
        <v>0</v>
      </c>
    </row>
    <row r="7" spans="1:32" ht="18.75" hidden="1" customHeight="1">
      <c r="B7" s="2338"/>
      <c r="C7" s="1086"/>
      <c r="D7" s="1557"/>
      <c r="E7" s="483" t="str">
        <f>B2&amp;".4"</f>
        <v>.4</v>
      </c>
      <c r="F7" s="490" t="s">
        <v>552</v>
      </c>
      <c r="G7" s="1565" t="s">
        <v>544</v>
      </c>
      <c r="H7" s="492"/>
      <c r="I7" s="492"/>
      <c r="J7" s="226"/>
      <c r="K7" s="480"/>
      <c r="AF7" s="1550">
        <v>0</v>
      </c>
    </row>
    <row r="8" spans="1:32" s="2244" customFormat="1" ht="11.25" hidden="1" customHeight="1">
      <c r="A8" s="912"/>
      <c r="C8" s="1555"/>
      <c r="D8" s="474"/>
      <c r="H8" s="1079">
        <v>4</v>
      </c>
      <c r="I8" s="1079">
        <v>4</v>
      </c>
      <c r="L8" s="1555"/>
      <c r="M8" s="1555"/>
      <c r="R8" s="1555"/>
      <c r="AF8" s="1079">
        <v>0</v>
      </c>
    </row>
    <row r="9" spans="1:32" s="2244" customFormat="1" ht="22.5" hidden="1" customHeight="1">
      <c r="A9" s="912"/>
      <c r="C9" s="1555"/>
      <c r="D9" s="475"/>
      <c r="E9" s="1567"/>
      <c r="F9" s="477"/>
      <c r="G9" s="1565" t="s">
        <v>550</v>
      </c>
      <c r="H9" s="478"/>
      <c r="I9" s="478"/>
      <c r="J9" s="479" t="s">
        <v>553</v>
      </c>
      <c r="K9" s="480"/>
      <c r="L9" s="1555"/>
      <c r="M9" s="1555"/>
      <c r="R9" s="1555"/>
      <c r="U9" s="481"/>
      <c r="AA9" s="1551"/>
      <c r="AB9" s="1551"/>
      <c r="AC9" s="1551"/>
      <c r="AD9" s="1551"/>
      <c r="AE9" s="1551"/>
      <c r="AF9" s="1079">
        <v>0</v>
      </c>
    </row>
    <row r="10" spans="1:32" ht="11.25" hidden="1" customHeight="1">
      <c r="AF10" s="1550">
        <v>0</v>
      </c>
    </row>
    <row r="11" spans="1:32" ht="18.75" hidden="1" customHeight="1">
      <c r="D11" s="1557"/>
      <c r="E11" s="483"/>
      <c r="F11" s="477"/>
      <c r="G11" s="1565" t="s">
        <v>554</v>
      </c>
      <c r="H11" s="478"/>
      <c r="I11" s="478"/>
      <c r="J11" s="226" t="s">
        <v>555</v>
      </c>
      <c r="K11" s="480"/>
      <c r="AF11" s="1550">
        <v>0</v>
      </c>
    </row>
    <row r="12" spans="1:32" ht="11.25" hidden="1" customHeight="1">
      <c r="AF12" s="1550">
        <v>0</v>
      </c>
    </row>
    <row r="13" spans="1:32" ht="22.5" hidden="1" customHeight="1">
      <c r="D13" s="1557"/>
      <c r="E13" s="483"/>
      <c r="F13" s="477"/>
      <c r="G13" s="895" t="s">
        <v>556</v>
      </c>
      <c r="H13" s="482"/>
      <c r="I13" s="482"/>
      <c r="J13" s="682" t="s">
        <v>557</v>
      </c>
      <c r="K13" s="480"/>
      <c r="AF13" s="1550">
        <v>0</v>
      </c>
    </row>
    <row r="14" spans="1:32" ht="11.25" hidden="1" customHeight="1">
      <c r="AF14" s="1550">
        <v>0</v>
      </c>
    </row>
    <row r="15" spans="1:32" ht="22.5" hidden="1" customHeight="1">
      <c r="D15" s="1557"/>
      <c r="E15" s="483"/>
      <c r="F15" s="477"/>
      <c r="G15" s="1565" t="s">
        <v>558</v>
      </c>
      <c r="H15" s="482"/>
      <c r="I15" s="482"/>
      <c r="J15" s="226" t="s">
        <v>559</v>
      </c>
      <c r="K15" s="480"/>
      <c r="AF15" s="1550">
        <v>0</v>
      </c>
    </row>
    <row r="16" spans="1:32" ht="11.25" hidden="1" customHeight="1">
      <c r="AF16" s="1550">
        <v>0</v>
      </c>
    </row>
    <row r="17" spans="1:32" ht="22.5" hidden="1" customHeight="1">
      <c r="D17" s="1557"/>
      <c r="E17" s="483"/>
      <c r="F17" s="477"/>
      <c r="G17" s="1565" t="s">
        <v>560</v>
      </c>
      <c r="H17" s="482"/>
      <c r="I17" s="482"/>
      <c r="J17" s="226" t="s">
        <v>561</v>
      </c>
      <c r="K17" s="480"/>
      <c r="AF17" s="1550">
        <v>0</v>
      </c>
    </row>
    <row r="18" spans="1:32" ht="11.25" hidden="1" customHeight="1">
      <c r="AF18" s="1550">
        <v>0</v>
      </c>
    </row>
    <row r="19" spans="1:32" s="2236" customFormat="1" ht="11.25" hidden="1" customHeight="1">
      <c r="A19" s="912"/>
      <c r="B19" s="1079"/>
      <c r="C19" s="1555"/>
      <c r="D19" s="299"/>
      <c r="J19" s="1551">
        <v>4</v>
      </c>
      <c r="K19" s="1079"/>
      <c r="L19" s="1555"/>
      <c r="M19" s="1555"/>
      <c r="N19" s="1079"/>
      <c r="O19" s="1079"/>
      <c r="P19" s="1079"/>
      <c r="Q19" s="1079"/>
      <c r="R19" s="1555"/>
      <c r="S19" s="1079"/>
      <c r="T19" s="1079"/>
      <c r="U19" s="481"/>
      <c r="V19" s="1079"/>
      <c r="W19" s="1079"/>
      <c r="X19" s="1079"/>
      <c r="Y19" s="1079"/>
      <c r="Z19" s="1079"/>
      <c r="AF19" s="1551">
        <v>0</v>
      </c>
    </row>
    <row r="20" spans="1:32" ht="11.45" customHeight="1">
      <c r="AF20" s="1550">
        <v>11</v>
      </c>
    </row>
    <row r="21" spans="1:32" ht="25.15" customHeight="1">
      <c r="E21" s="2467"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467"/>
      <c r="G21" s="2467"/>
      <c r="H21" s="2467"/>
      <c r="I21" s="2467"/>
      <c r="J21" s="493"/>
      <c r="AF21" s="1550">
        <v>24</v>
      </c>
    </row>
    <row r="22" spans="1:32" ht="25.15" customHeight="1">
      <c r="E22" s="2412" t="str">
        <f>IF(org=0,"Не определено",org)</f>
        <v>МУП "Водоканал"</v>
      </c>
      <c r="F22" s="2412"/>
      <c r="G22" s="2412"/>
      <c r="H22" s="2412"/>
      <c r="I22" s="2412"/>
      <c r="AF22" s="1550">
        <v>24</v>
      </c>
    </row>
    <row r="23" spans="1:32" ht="11.45" customHeight="1">
      <c r="E23" s="1055"/>
      <c r="F23" s="1055"/>
      <c r="G23" s="1055"/>
      <c r="H23" s="1055"/>
      <c r="I23" s="1055"/>
      <c r="AF23" s="1550">
        <v>11</v>
      </c>
    </row>
    <row r="24" spans="1:32" s="2245" customFormat="1" ht="1.1499999999999999" customHeight="1">
      <c r="A24" s="1086"/>
      <c r="D24" s="1561"/>
      <c r="H24" s="815"/>
      <c r="I24" s="815" t="s">
        <v>116</v>
      </c>
      <c r="AF24" s="1555">
        <v>1</v>
      </c>
    </row>
    <row r="25" spans="1:32" ht="11.45" customHeight="1">
      <c r="E25" s="648"/>
      <c r="F25" s="2566" t="s">
        <v>104</v>
      </c>
      <c r="G25" s="2567"/>
      <c r="H25" s="1571" t="str">
        <f>IF(H24="","",INDEX(DIFFERENTIATION_UNMERGE_VD,MATCH(H24,DIFFERENTIATION_ID_DIFF,0)))</f>
        <v/>
      </c>
      <c r="I25" s="1571" t="str">
        <f>IF(I24="","",INDEX(DIFFERENTIATION_UNMERGE_VD,MATCH(I24,DIFFERENTIATION_ID_DIFF,0)))</f>
        <v>Водоотведение</v>
      </c>
      <c r="J25" s="2363"/>
      <c r="AF25" s="1550">
        <v>11</v>
      </c>
    </row>
    <row r="26" spans="1:32" ht="11.45" customHeight="1">
      <c r="E26" s="648"/>
      <c r="F26" s="2566" t="s">
        <v>562</v>
      </c>
      <c r="G26" s="2567"/>
      <c r="H26" s="1571" t="str">
        <f>IF(H24="","",INDEX(DIFFERENTIATION_UNMERGE_AREA,MATCH(H24,DIFFERENTIATION_ID_DIFF,0)))</f>
        <v/>
      </c>
      <c r="I26" s="1571" t="str">
        <f>IF(I24="","",INDEX(DIFFERENTIATION_UNMERGE_AREA,MATCH(I24,DIFFERENTIATION_ID_DIFF,0)))</f>
        <v>Территория 1</v>
      </c>
      <c r="J26" s="2363"/>
      <c r="AF26" s="1550">
        <v>11</v>
      </c>
    </row>
    <row r="27" spans="1:32" ht="11.45" customHeight="1">
      <c r="E27" s="648"/>
      <c r="F27" s="2566" t="s">
        <v>563</v>
      </c>
      <c r="G27" s="2567"/>
      <c r="H27" s="1571" t="str">
        <f>IF(H24="","",INDEX(DIFFERENTIATION_UNMERGE_SYSTEM,MATCH(H24,DIFFERENTIATION_ID_DIFF,0)))</f>
        <v/>
      </c>
      <c r="I27" s="1571" t="str">
        <f>IF(I24="","",INDEX(DIFFERENTIATION_UNMERGE_SYSTEM,MATCH(I24,DIFFERENTIATION_ID_DIFF,0)))</f>
        <v>без дифференциации</v>
      </c>
      <c r="J27" s="2363"/>
      <c r="AF27" s="1550">
        <v>11</v>
      </c>
    </row>
    <row r="28" spans="1:32" ht="11.45" customHeight="1">
      <c r="E28" s="2568" t="s">
        <v>298</v>
      </c>
      <c r="F28" s="2569"/>
      <c r="G28" s="2569"/>
      <c r="H28" s="1564"/>
      <c r="I28" s="1564"/>
      <c r="J28" s="2363"/>
      <c r="AF28" s="1550">
        <v>11</v>
      </c>
    </row>
    <row r="29" spans="1:32" ht="24" customHeight="1">
      <c r="E29" s="1565" t="s">
        <v>87</v>
      </c>
      <c r="F29" s="1572" t="s">
        <v>300</v>
      </c>
      <c r="G29" s="1572" t="s">
        <v>564</v>
      </c>
      <c r="H29" s="1572" t="s">
        <v>301</v>
      </c>
      <c r="I29" s="1572" t="s">
        <v>301</v>
      </c>
      <c r="J29" s="2363"/>
      <c r="AF29" s="1550">
        <v>23</v>
      </c>
    </row>
    <row r="30" spans="1:32" ht="20.25" customHeight="1">
      <c r="D30" s="1557"/>
      <c r="E30" s="483">
        <f>FHD_NUM_P_1</f>
        <v>1</v>
      </c>
      <c r="F30" s="1796" t="str">
        <f>FHD_P_1</f>
        <v>Выручка от регулируемых видов деятельности в сфере водоотведения</v>
      </c>
      <c r="G30" s="1794" t="s">
        <v>550</v>
      </c>
      <c r="H30" s="494"/>
      <c r="I30" s="494">
        <v>439446.80135999998</v>
      </c>
      <c r="J30" s="226" t="str">
        <f>FHD_NOTE_P_1</f>
        <v>Указывается выручка с распределением по видам деятельности.</v>
      </c>
      <c r="K30" s="480"/>
      <c r="AF30" s="1550">
        <v>19</v>
      </c>
    </row>
    <row r="31" spans="1:32" ht="11.45" customHeight="1">
      <c r="D31" s="1557"/>
      <c r="E31" s="483">
        <f>FHD_NUM_P_2</f>
        <v>2</v>
      </c>
      <c r="F31" s="1796" t="str">
        <f>FHD_P_2</f>
        <v>Себестоимость производимых товаров (оказываемых услуг) по регулируемым видам деятельности в сфере водоотведения, включая:</v>
      </c>
      <c r="G31" s="1794" t="s">
        <v>550</v>
      </c>
      <c r="H31" s="495">
        <f>SUMIF($K32:$K72,$K31,H32:H72)</f>
        <v>0</v>
      </c>
      <c r="I31" s="495">
        <f>SUMIF($K32:$K72,$K31,I32:I72)</f>
        <v>384997.18127</v>
      </c>
      <c r="J31" s="226" t="str">
        <f>FHD_NOTE_P_2</f>
        <v>Указывается суммарная себестоимость производимых товаров.</v>
      </c>
      <c r="K31" s="1555" t="s">
        <v>565</v>
      </c>
      <c r="AF31" s="1550">
        <v>11</v>
      </c>
    </row>
    <row r="32" spans="1:32" ht="11.45" customHeight="1">
      <c r="D32" s="1557"/>
      <c r="E32" s="483" t="str">
        <f>FHD_NUM_P_3</f>
        <v>2.1</v>
      </c>
      <c r="F32" s="1443" t="str">
        <f>FHD_P_3</f>
        <v>Расходы на оплату услуг по приему, транспортировке и очистке сточных вод другими организациями</v>
      </c>
      <c r="G32" s="1794" t="s">
        <v>550</v>
      </c>
      <c r="H32" s="494"/>
      <c r="I32" s="494">
        <v>0</v>
      </c>
      <c r="J32" s="226" t="str">
        <f>FHD_NOTE_P_3</f>
        <v/>
      </c>
      <c r="K32" s="1555" t="str">
        <f t="shared" ref="K32:K70" si="0">IF((LEN(E32)-LEN(SUBSTITUTE(E32,".","")))/LEN(".")=1,"p","")</f>
        <v>p</v>
      </c>
      <c r="AF32" s="1550">
        <v>11</v>
      </c>
    </row>
    <row r="33" spans="1:32" ht="11.25" hidden="1" customHeight="1">
      <c r="A33" s="2570" t="s">
        <v>566</v>
      </c>
      <c r="D33" s="1557"/>
      <c r="E33" s="483" t="str">
        <f>FHD_NUM_P_4</f>
        <v/>
      </c>
      <c r="F33" s="1443" t="str">
        <f>FHD_P_4</f>
        <v/>
      </c>
      <c r="G33" s="1794" t="s">
        <v>550</v>
      </c>
      <c r="H33" s="495">
        <f>SUMIF($F34:$F40,$F3,H34:H40)</f>
        <v>0</v>
      </c>
      <c r="I33" s="495">
        <f>SUMIF($F34:$F40,$F3,I34:I40)</f>
        <v>0</v>
      </c>
      <c r="J33" s="226" t="str">
        <f>FHD_NOTE_P_4</f>
        <v/>
      </c>
      <c r="K33" s="1555" t="str">
        <f t="shared" si="0"/>
        <v/>
      </c>
      <c r="AF33" s="1550">
        <v>0</v>
      </c>
    </row>
    <row r="34" spans="1:32" s="2269" customFormat="1" ht="0.75" hidden="1" customHeight="1">
      <c r="A34" s="2570"/>
      <c r="B34" s="2571" t="str">
        <f>E33&amp;".0"</f>
        <v>.0</v>
      </c>
      <c r="C34" s="1086"/>
      <c r="D34" s="497"/>
      <c r="E34" s="498"/>
      <c r="F34" s="499"/>
      <c r="G34" s="500"/>
      <c r="H34" s="434"/>
      <c r="I34" s="434"/>
      <c r="J34" s="501"/>
      <c r="K34" s="1555" t="str">
        <f t="shared" si="0"/>
        <v/>
      </c>
      <c r="L34" s="1555"/>
      <c r="M34" s="1555"/>
      <c r="N34" s="1555"/>
      <c r="O34" s="1555"/>
      <c r="P34" s="1555"/>
      <c r="Q34" s="1555"/>
      <c r="R34" s="1555"/>
      <c r="S34" s="1555"/>
      <c r="T34" s="1555"/>
      <c r="U34" s="502"/>
      <c r="V34" s="1555"/>
      <c r="W34" s="1555"/>
      <c r="X34" s="1555"/>
      <c r="Y34" s="1555"/>
      <c r="Z34" s="1555"/>
      <c r="AA34" s="503"/>
      <c r="AB34" s="503"/>
      <c r="AC34" s="503"/>
      <c r="AD34" s="503"/>
      <c r="AE34" s="503"/>
      <c r="AF34" s="1560">
        <v>0</v>
      </c>
    </row>
    <row r="35" spans="1:32" s="2269" customFormat="1" ht="0.75" hidden="1" customHeight="1">
      <c r="A35" s="2570"/>
      <c r="B35" s="2571"/>
      <c r="C35" s="1086"/>
      <c r="D35" s="497"/>
      <c r="E35" s="504"/>
      <c r="F35" s="505"/>
      <c r="G35" s="500"/>
      <c r="H35" s="506"/>
      <c r="I35" s="506"/>
      <c r="J35" s="501"/>
      <c r="K35" s="1555" t="str">
        <f t="shared" si="0"/>
        <v/>
      </c>
      <c r="L35" s="1555"/>
      <c r="M35" s="1555"/>
      <c r="N35" s="1555"/>
      <c r="O35" s="1555"/>
      <c r="P35" s="1555"/>
      <c r="Q35" s="1555"/>
      <c r="R35" s="1555"/>
      <c r="S35" s="1555"/>
      <c r="T35" s="1555"/>
      <c r="U35" s="502"/>
      <c r="V35" s="1555"/>
      <c r="W35" s="1555"/>
      <c r="X35" s="1555"/>
      <c r="Y35" s="1555"/>
      <c r="Z35" s="1555"/>
      <c r="AA35" s="503"/>
      <c r="AB35" s="503"/>
      <c r="AC35" s="503"/>
      <c r="AD35" s="503"/>
      <c r="AE35" s="503"/>
      <c r="AF35" s="1560">
        <v>0</v>
      </c>
    </row>
    <row r="36" spans="1:32" s="2269" customFormat="1" ht="0.75" hidden="1" customHeight="1">
      <c r="A36" s="2570"/>
      <c r="B36" s="2571"/>
      <c r="C36" s="1086"/>
      <c r="D36" s="497"/>
      <c r="E36" s="504"/>
      <c r="F36" s="505"/>
      <c r="G36" s="500"/>
      <c r="H36" s="506"/>
      <c r="I36" s="506"/>
      <c r="J36" s="501"/>
      <c r="K36" s="1555" t="str">
        <f t="shared" si="0"/>
        <v/>
      </c>
      <c r="L36" s="1555"/>
      <c r="M36" s="1555"/>
      <c r="N36" s="1555"/>
      <c r="O36" s="1555"/>
      <c r="P36" s="1555"/>
      <c r="Q36" s="1555"/>
      <c r="R36" s="1555"/>
      <c r="S36" s="1555"/>
      <c r="T36" s="1555"/>
      <c r="U36" s="502"/>
      <c r="V36" s="1555"/>
      <c r="W36" s="1555"/>
      <c r="X36" s="1555"/>
      <c r="Y36" s="1555"/>
      <c r="Z36" s="1555"/>
      <c r="AA36" s="503"/>
      <c r="AB36" s="503"/>
      <c r="AC36" s="503"/>
      <c r="AD36" s="503"/>
      <c r="AE36" s="503"/>
      <c r="AF36" s="1560">
        <v>0</v>
      </c>
    </row>
    <row r="37" spans="1:32" s="2269" customFormat="1" ht="0.75" hidden="1" customHeight="1">
      <c r="A37" s="2570"/>
      <c r="B37" s="2571"/>
      <c r="C37" s="1086"/>
      <c r="D37" s="497"/>
      <c r="E37" s="504"/>
      <c r="F37" s="505"/>
      <c r="G37" s="500"/>
      <c r="H37" s="506"/>
      <c r="I37" s="506"/>
      <c r="J37" s="501"/>
      <c r="K37" s="1555" t="str">
        <f t="shared" si="0"/>
        <v/>
      </c>
      <c r="L37" s="1555"/>
      <c r="M37" s="1555"/>
      <c r="N37" s="1555"/>
      <c r="O37" s="1555"/>
      <c r="P37" s="1555"/>
      <c r="Q37" s="1555"/>
      <c r="R37" s="1555"/>
      <c r="S37" s="1555"/>
      <c r="T37" s="1555"/>
      <c r="U37" s="502"/>
      <c r="V37" s="1555"/>
      <c r="W37" s="1555"/>
      <c r="X37" s="1555"/>
      <c r="Y37" s="1555"/>
      <c r="Z37" s="1555"/>
      <c r="AA37" s="503"/>
      <c r="AB37" s="503"/>
      <c r="AC37" s="503"/>
      <c r="AD37" s="503"/>
      <c r="AE37" s="503"/>
      <c r="AF37" s="1560">
        <v>0</v>
      </c>
    </row>
    <row r="38" spans="1:32" s="2269" customFormat="1" ht="0.75" hidden="1" customHeight="1">
      <c r="A38" s="2570"/>
      <c r="B38" s="2571"/>
      <c r="C38" s="1086"/>
      <c r="D38" s="497"/>
      <c r="E38" s="504"/>
      <c r="F38" s="505"/>
      <c r="G38" s="500"/>
      <c r="H38" s="506"/>
      <c r="I38" s="506"/>
      <c r="J38" s="501"/>
      <c r="K38" s="1555" t="str">
        <f t="shared" si="0"/>
        <v/>
      </c>
      <c r="L38" s="1555"/>
      <c r="M38" s="1555"/>
      <c r="N38" s="1555"/>
      <c r="O38" s="1555"/>
      <c r="P38" s="1555"/>
      <c r="Q38" s="1555"/>
      <c r="R38" s="1555"/>
      <c r="S38" s="1555"/>
      <c r="T38" s="1555"/>
      <c r="U38" s="502"/>
      <c r="V38" s="1555"/>
      <c r="W38" s="1555"/>
      <c r="X38" s="1555"/>
      <c r="Y38" s="1555"/>
      <c r="Z38" s="1555"/>
      <c r="AA38" s="503"/>
      <c r="AB38" s="503"/>
      <c r="AC38" s="503"/>
      <c r="AD38" s="503"/>
      <c r="AE38" s="503"/>
      <c r="AF38" s="1560">
        <v>0</v>
      </c>
    </row>
    <row r="39" spans="1:32" s="2269" customFormat="1" ht="0.75" hidden="1" customHeight="1">
      <c r="A39" s="2570"/>
      <c r="B39" s="2571"/>
      <c r="C39" s="1086"/>
      <c r="D39" s="497"/>
      <c r="E39" s="504"/>
      <c r="F39" s="505"/>
      <c r="G39" s="500"/>
      <c r="H39" s="434"/>
      <c r="I39" s="434"/>
      <c r="J39" s="501"/>
      <c r="K39" s="1555" t="str">
        <f t="shared" si="0"/>
        <v/>
      </c>
      <c r="L39" s="1555"/>
      <c r="M39" s="1555"/>
      <c r="N39" s="1555"/>
      <c r="O39" s="1555"/>
      <c r="P39" s="1555"/>
      <c r="Q39" s="1555"/>
      <c r="R39" s="1555"/>
      <c r="S39" s="1555"/>
      <c r="T39" s="1555"/>
      <c r="U39" s="502"/>
      <c r="V39" s="1555"/>
      <c r="W39" s="1555"/>
      <c r="X39" s="1555"/>
      <c r="Y39" s="1555"/>
      <c r="Z39" s="1555"/>
      <c r="AA39" s="503"/>
      <c r="AB39" s="503"/>
      <c r="AC39" s="503"/>
      <c r="AD39" s="503"/>
      <c r="AE39" s="503"/>
      <c r="AF39" s="1560">
        <v>0</v>
      </c>
    </row>
    <row r="40" spans="1:32" s="2244" customFormat="1" ht="15" hidden="1" customHeight="1">
      <c r="A40" s="2570"/>
      <c r="C40" s="1555"/>
      <c r="D40" s="1552"/>
      <c r="E40" s="507"/>
      <c r="F40" s="508" t="s">
        <v>567</v>
      </c>
      <c r="G40" s="509"/>
      <c r="H40" s="510"/>
      <c r="I40" s="510"/>
      <c r="J40" s="238"/>
      <c r="K40" s="1555" t="str">
        <f t="shared" si="0"/>
        <v/>
      </c>
      <c r="L40" s="1555"/>
      <c r="M40" s="1555"/>
      <c r="R40" s="1555"/>
      <c r="U40" s="481"/>
      <c r="AA40" s="1551"/>
      <c r="AB40" s="1551"/>
      <c r="AC40" s="1551"/>
      <c r="AD40" s="1551"/>
      <c r="AE40" s="1551"/>
      <c r="AF40" s="1079">
        <v>0</v>
      </c>
    </row>
    <row r="41" spans="1:32" ht="11.25" hidden="1" customHeight="1">
      <c r="A41" s="2570" t="s">
        <v>568</v>
      </c>
      <c r="D41" s="1557"/>
      <c r="E41" s="483" t="str">
        <f>FHD_NUM_P_5</f>
        <v/>
      </c>
      <c r="F41" s="1443" t="str">
        <f>FHD_P_5</f>
        <v/>
      </c>
      <c r="G41" s="1794" t="s">
        <v>550</v>
      </c>
      <c r="H41" s="494"/>
      <c r="I41" s="494"/>
      <c r="J41" s="226" t="str">
        <f>FHD_NOTE_P_5</f>
        <v/>
      </c>
      <c r="K41" s="1555" t="str">
        <f t="shared" si="0"/>
        <v/>
      </c>
      <c r="AF41" s="1550">
        <v>0</v>
      </c>
    </row>
    <row r="42" spans="1:32" ht="11.25" hidden="1" customHeight="1">
      <c r="A42" s="2570"/>
      <c r="D42" s="1557"/>
      <c r="E42" s="483" t="str">
        <f>FHD_NUM_P_6</f>
        <v/>
      </c>
      <c r="F42" s="1443" t="str">
        <f>FHD_P_6</f>
        <v/>
      </c>
      <c r="G42" s="1794" t="s">
        <v>550</v>
      </c>
      <c r="H42" s="494"/>
      <c r="I42" s="494"/>
      <c r="J42" s="226" t="str">
        <f>FHD_NOTE_P_6</f>
        <v/>
      </c>
      <c r="K42" s="1555" t="str">
        <f t="shared" si="0"/>
        <v/>
      </c>
      <c r="AF42" s="1550">
        <v>0</v>
      </c>
    </row>
    <row r="43" spans="1:32" ht="11.25" hidden="1" customHeight="1">
      <c r="A43" s="2570"/>
      <c r="D43" s="1557"/>
      <c r="E43" s="483" t="str">
        <f>FHD_NUM_P_7</f>
        <v/>
      </c>
      <c r="F43" s="1443" t="str">
        <f>FHD_P_7</f>
        <v/>
      </c>
      <c r="G43" s="1794" t="s">
        <v>550</v>
      </c>
      <c r="H43" s="494"/>
      <c r="I43" s="494"/>
      <c r="J43" s="226" t="str">
        <f>FHD_NOTE_P_7</f>
        <v/>
      </c>
      <c r="K43" s="1555" t="str">
        <f t="shared" si="0"/>
        <v/>
      </c>
      <c r="AF43" s="1550">
        <v>0</v>
      </c>
    </row>
    <row r="44" spans="1:32" ht="11.45" customHeight="1">
      <c r="D44" s="1557"/>
      <c r="E44" s="483" t="str">
        <f>FHD_NUM_P_8</f>
        <v>2.2</v>
      </c>
      <c r="F44" s="1443" t="str">
        <f>FHD_P_8</f>
        <v>Расходы на приобретаемую электрическую энергию (мощность), используемую в технологическом процессе</v>
      </c>
      <c r="G44" s="1794" t="s">
        <v>550</v>
      </c>
      <c r="H44" s="494"/>
      <c r="I44" s="494">
        <v>68009.386540000007</v>
      </c>
      <c r="J44" s="226" t="str">
        <f>FHD_NOTE_P_8</f>
        <v/>
      </c>
      <c r="K44" s="1555" t="str">
        <f t="shared" si="0"/>
        <v>p</v>
      </c>
      <c r="AF44" s="1550">
        <v>11</v>
      </c>
    </row>
    <row r="45" spans="1:32" ht="11.45" customHeight="1">
      <c r="D45" s="1557"/>
      <c r="E45" s="483" t="str">
        <f>FHD_NUM_P_9</f>
        <v>2.2.1</v>
      </c>
      <c r="F45" s="1569" t="str">
        <f>FHD_P_9</f>
        <v>Средневзвешенная стоимость 1 кВт.ч (с учетом мощности)</v>
      </c>
      <c r="G45" s="1794" t="s">
        <v>569</v>
      </c>
      <c r="H45" s="494"/>
      <c r="I45" s="494">
        <v>7.45</v>
      </c>
      <c r="J45" s="226" t="str">
        <f>FHD_NOTE_P_9</f>
        <v/>
      </c>
      <c r="K45" s="1555" t="str">
        <f t="shared" si="0"/>
        <v/>
      </c>
      <c r="AF45" s="1550">
        <v>11</v>
      </c>
    </row>
    <row r="46" spans="1:32" s="2244" customFormat="1" ht="11.45" customHeight="1">
      <c r="A46" s="912"/>
      <c r="C46" s="1555"/>
      <c r="D46" s="511"/>
      <c r="E46" s="483" t="str">
        <f>FHD_NUM_P_10</f>
        <v>2.2.2</v>
      </c>
      <c r="F46" s="1569" t="str">
        <f>FHD_P_10</f>
        <v>Объём приобретения электрической энергии</v>
      </c>
      <c r="G46" s="1794" t="s">
        <v>570</v>
      </c>
      <c r="H46" s="494"/>
      <c r="I46" s="494">
        <v>9128.7767199999998</v>
      </c>
      <c r="J46" s="226" t="str">
        <f>FHD_NOTE_P_10</f>
        <v/>
      </c>
      <c r="K46" s="1555" t="str">
        <f t="shared" si="0"/>
        <v/>
      </c>
      <c r="L46" s="1555"/>
      <c r="M46" s="1555"/>
      <c r="R46" s="1555"/>
      <c r="U46" s="481"/>
      <c r="AA46" s="1551"/>
      <c r="AB46" s="1551"/>
      <c r="AC46" s="1551"/>
      <c r="AD46" s="1551"/>
      <c r="AE46" s="1551"/>
      <c r="AF46" s="1079">
        <v>11</v>
      </c>
    </row>
    <row r="47" spans="1:32" s="2244" customFormat="1" ht="11.25" hidden="1" customHeight="1">
      <c r="A47" s="914" t="s">
        <v>571</v>
      </c>
      <c r="C47" s="1555"/>
      <c r="D47" s="512"/>
      <c r="E47" s="483" t="str">
        <f>FHD_NUM_P_11</f>
        <v/>
      </c>
      <c r="F47" s="1443" t="str">
        <f>FHD_P_11</f>
        <v/>
      </c>
      <c r="G47" s="1794" t="s">
        <v>550</v>
      </c>
      <c r="H47" s="494"/>
      <c r="I47" s="494"/>
      <c r="J47" s="226" t="str">
        <f>FHD_NOTE_P_11</f>
        <v/>
      </c>
      <c r="K47" s="1555" t="str">
        <f t="shared" si="0"/>
        <v/>
      </c>
      <c r="L47" s="1555"/>
      <c r="M47" s="1555"/>
      <c r="R47" s="1555"/>
      <c r="U47" s="481"/>
      <c r="AA47" s="1551"/>
      <c r="AB47" s="1551"/>
      <c r="AC47" s="1551"/>
      <c r="AD47" s="1551"/>
      <c r="AE47" s="1551"/>
      <c r="AF47" s="1079">
        <v>0</v>
      </c>
    </row>
    <row r="48" spans="1:32" s="2244" customFormat="1" ht="18.75" customHeight="1">
      <c r="A48" s="914" t="s">
        <v>572</v>
      </c>
      <c r="C48" s="1555"/>
      <c r="D48" s="1557"/>
      <c r="E48" s="483" t="str">
        <f>FHD_NUM_P_12</f>
        <v>2.3</v>
      </c>
      <c r="F48" s="1443" t="str">
        <f>FHD_P_12</f>
        <v>Расходы на химические реагенты, используемые в технологическом процессе</v>
      </c>
      <c r="G48" s="1794" t="s">
        <v>550</v>
      </c>
      <c r="H48" s="514"/>
      <c r="I48" s="514">
        <v>12205.38083</v>
      </c>
      <c r="J48" s="226" t="str">
        <f>FHD_NOTE_P_12</f>
        <v/>
      </c>
      <c r="K48" s="1555" t="str">
        <f t="shared" si="0"/>
        <v>p</v>
      </c>
      <c r="L48" s="1555"/>
      <c r="M48" s="1555"/>
      <c r="R48" s="1555"/>
      <c r="U48" s="481"/>
      <c r="AA48" s="1551"/>
      <c r="AB48" s="1551"/>
      <c r="AC48" s="1551"/>
      <c r="AD48" s="1551"/>
      <c r="AE48" s="1551"/>
      <c r="AF48" s="1079">
        <v>18</v>
      </c>
    </row>
    <row r="49" spans="1:32" s="2277" customFormat="1" ht="13.5" customHeight="1">
      <c r="A49" s="913"/>
      <c r="C49" s="667"/>
      <c r="D49" s="610"/>
      <c r="E49" s="483" t="str">
        <f>FHD_NUM_P_13</f>
        <v>2.4</v>
      </c>
      <c r="F49" s="144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4" t="s">
        <v>550</v>
      </c>
      <c r="H49" s="494"/>
      <c r="I49" s="494">
        <v>153519.51139</v>
      </c>
      <c r="J49" s="226" t="str">
        <f>FHD_NOTE_P_13</f>
        <v>Указывается общая сумма расходов на оплату труда и отчислений на социальные нужды основного производственного персонала.</v>
      </c>
      <c r="K49" s="1555" t="str">
        <f t="shared" si="0"/>
        <v>p</v>
      </c>
      <c r="L49" s="667"/>
      <c r="M49" s="667"/>
      <c r="R49" s="667"/>
      <c r="U49" s="668"/>
      <c r="AA49" s="669"/>
      <c r="AB49" s="669"/>
      <c r="AC49" s="669"/>
      <c r="AD49" s="669"/>
      <c r="AE49" s="669"/>
      <c r="AF49" s="666">
        <v>11</v>
      </c>
    </row>
    <row r="50" spans="1:32" s="2277" customFormat="1" ht="13.5" customHeight="1">
      <c r="A50" s="913"/>
      <c r="C50" s="667"/>
      <c r="D50" s="610"/>
      <c r="E50" s="483" t="str">
        <f>FHD_NUM_P_14</f>
        <v>2.4.1</v>
      </c>
      <c r="F50" s="1569" t="str">
        <f>FHD_P_14</f>
        <v>Расходы на оплату труда основного производственного персонала</v>
      </c>
      <c r="G50" s="1794" t="s">
        <v>550</v>
      </c>
      <c r="H50" s="494"/>
      <c r="I50" s="494">
        <v>120510.18144</v>
      </c>
      <c r="J50" s="226" t="str">
        <f>FHD_NOTE_P_14</f>
        <v/>
      </c>
      <c r="K50" s="1555" t="str">
        <f t="shared" si="0"/>
        <v/>
      </c>
      <c r="L50" s="667"/>
      <c r="M50" s="667"/>
      <c r="R50" s="667"/>
      <c r="U50" s="668"/>
      <c r="AA50" s="669"/>
      <c r="AB50" s="669"/>
      <c r="AC50" s="669"/>
      <c r="AD50" s="669"/>
      <c r="AE50" s="669"/>
      <c r="AF50" s="666">
        <v>11</v>
      </c>
    </row>
    <row r="51" spans="1:32" s="2277" customFormat="1" ht="12.75" customHeight="1">
      <c r="A51" s="913"/>
      <c r="C51" s="667"/>
      <c r="D51" s="610"/>
      <c r="E51" s="483" t="str">
        <f>FHD_NUM_P_15</f>
        <v>2.4.2</v>
      </c>
      <c r="F51" s="1569" t="str">
        <f>FHD_P_15</f>
        <v>Страховые взносы на обязательное социальное страхование, выплачиваемые из фонда оплаты труда основного производственного персонала</v>
      </c>
      <c r="G51" s="1794" t="s">
        <v>550</v>
      </c>
      <c r="H51" s="494"/>
      <c r="I51" s="494">
        <v>33009.329949999999</v>
      </c>
      <c r="J51" s="226" t="str">
        <f>FHD_NOTE_P_15</f>
        <v/>
      </c>
      <c r="K51" s="1555" t="str">
        <f t="shared" si="0"/>
        <v/>
      </c>
      <c r="L51" s="667"/>
      <c r="M51" s="667"/>
      <c r="R51" s="667"/>
      <c r="U51" s="668"/>
      <c r="AA51" s="669"/>
      <c r="AB51" s="669"/>
      <c r="AC51" s="669"/>
      <c r="AD51" s="669"/>
      <c r="AE51" s="669"/>
      <c r="AF51" s="666">
        <v>11</v>
      </c>
    </row>
    <row r="52" spans="1:32" s="2244" customFormat="1" ht="11.45" customHeight="1">
      <c r="A52" s="912"/>
      <c r="C52" s="1555"/>
      <c r="D52" s="1557"/>
      <c r="E52" s="483" t="str">
        <f>FHD_NUM_P_16</f>
        <v>2.5</v>
      </c>
      <c r="F52" s="144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794" t="s">
        <v>550</v>
      </c>
      <c r="H52" s="494"/>
      <c r="I52" s="494">
        <v>46883.393349999998</v>
      </c>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55" t="str">
        <f t="shared" si="0"/>
        <v>p</v>
      </c>
      <c r="L52" s="1555"/>
      <c r="M52" s="1561"/>
      <c r="N52" s="474"/>
      <c r="O52" s="474"/>
      <c r="R52" s="1555"/>
      <c r="U52" s="481"/>
      <c r="AA52" s="1551"/>
      <c r="AB52" s="1551"/>
      <c r="AC52" s="1551"/>
      <c r="AD52" s="1551"/>
      <c r="AE52" s="1551"/>
      <c r="AF52" s="1079">
        <v>11</v>
      </c>
    </row>
    <row r="53" spans="1:32" s="2244" customFormat="1" ht="11.45" customHeight="1">
      <c r="A53" s="912"/>
      <c r="C53" s="1555"/>
      <c r="D53" s="1557"/>
      <c r="E53" s="483" t="str">
        <f>FHD_NUM_P_17</f>
        <v>2.5.1</v>
      </c>
      <c r="F53" s="1569" t="str">
        <f>FHD_P_17</f>
        <v>Расходы на оплату труда административно-управленческого персонала, в том числе:</v>
      </c>
      <c r="G53" s="1794" t="s">
        <v>550</v>
      </c>
      <c r="H53" s="494"/>
      <c r="I53" s="494">
        <v>36779.878120000001</v>
      </c>
      <c r="J53" s="226" t="str">
        <f>FHD_NOTE_P_17</f>
        <v/>
      </c>
      <c r="K53" s="1555" t="str">
        <f t="shared" si="0"/>
        <v/>
      </c>
      <c r="L53" s="1555"/>
      <c r="M53" s="1561"/>
      <c r="N53" s="474"/>
      <c r="O53" s="474"/>
      <c r="R53" s="1555"/>
      <c r="U53" s="481"/>
      <c r="AA53" s="1551"/>
      <c r="AB53" s="1551"/>
      <c r="AC53" s="1551"/>
      <c r="AD53" s="1551"/>
      <c r="AE53" s="1551"/>
      <c r="AF53" s="1079">
        <v>11</v>
      </c>
    </row>
    <row r="54" spans="1:32" s="2244" customFormat="1" ht="11.45" customHeight="1">
      <c r="A54" s="912"/>
      <c r="C54" s="1555"/>
      <c r="D54" s="1557"/>
      <c r="E54" s="483" t="str">
        <f>FHD_NUM_P_18</f>
        <v>2.5.2</v>
      </c>
      <c r="F54" s="156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4" t="s">
        <v>550</v>
      </c>
      <c r="H54" s="494"/>
      <c r="I54" s="494">
        <v>10103.515230000001</v>
      </c>
      <c r="J54" s="226" t="str">
        <f>FHD_NOTE_P_18</f>
        <v/>
      </c>
      <c r="K54" s="1555" t="str">
        <f t="shared" si="0"/>
        <v/>
      </c>
      <c r="L54" s="1555"/>
      <c r="M54" s="1561"/>
      <c r="N54" s="474"/>
      <c r="O54" s="474"/>
      <c r="R54" s="1555"/>
      <c r="U54" s="481"/>
      <c r="AA54" s="1551"/>
      <c r="AB54" s="1551"/>
      <c r="AC54" s="1551"/>
      <c r="AD54" s="1551"/>
      <c r="AE54" s="1551"/>
      <c r="AF54" s="1079">
        <v>11</v>
      </c>
    </row>
    <row r="55" spans="1:32" s="2244" customFormat="1" ht="11.45" customHeight="1">
      <c r="A55" s="912"/>
      <c r="C55" s="1555"/>
      <c r="D55" s="512"/>
      <c r="E55" s="483" t="str">
        <f>FHD_NUM_P_19</f>
        <v>2.6</v>
      </c>
      <c r="F55" s="1443" t="str">
        <f>FHD_P_19</f>
        <v>Расходы на амортизацию основных средств и нематериальных активов</v>
      </c>
      <c r="G55" s="1794" t="s">
        <v>550</v>
      </c>
      <c r="H55" s="494"/>
      <c r="I55" s="494">
        <v>31152.58109</v>
      </c>
      <c r="J55" s="226" t="str">
        <f>FHD_NOTE_P_19</f>
        <v/>
      </c>
      <c r="K55" s="1555" t="str">
        <f t="shared" si="0"/>
        <v>p</v>
      </c>
      <c r="L55" s="1555"/>
      <c r="M55" s="1555"/>
      <c r="R55" s="1555"/>
      <c r="U55" s="481"/>
      <c r="AA55" s="1551"/>
      <c r="AB55" s="1551"/>
      <c r="AC55" s="1551"/>
      <c r="AD55" s="1551"/>
      <c r="AE55" s="1551"/>
      <c r="AF55" s="1079">
        <v>11</v>
      </c>
    </row>
    <row r="56" spans="1:32" s="2244" customFormat="1" ht="11.45" customHeight="1">
      <c r="A56" s="912"/>
      <c r="C56" s="1555"/>
      <c r="D56" s="512"/>
      <c r="E56" s="483" t="str">
        <f>FHD_NUM_P_20</f>
        <v>2.6.1</v>
      </c>
      <c r="F56" s="1569" t="str">
        <f>FHD_P_20</f>
        <v>Расходы на амортизацию основных средств</v>
      </c>
      <c r="G56" s="1794" t="s">
        <v>550</v>
      </c>
      <c r="H56" s="494"/>
      <c r="I56" s="494">
        <v>31152.58109</v>
      </c>
      <c r="J56" s="226" t="str">
        <f>FHD_NOTE_P_20</f>
        <v/>
      </c>
      <c r="K56" s="1555" t="str">
        <f t="shared" si="0"/>
        <v/>
      </c>
      <c r="L56" s="1555"/>
      <c r="M56" s="1555"/>
      <c r="R56" s="1555"/>
      <c r="U56" s="481"/>
      <c r="AA56" s="1551"/>
      <c r="AB56" s="1551"/>
      <c r="AC56" s="1551"/>
      <c r="AD56" s="1551"/>
      <c r="AE56" s="1551"/>
      <c r="AF56" s="1079">
        <v>11</v>
      </c>
    </row>
    <row r="57" spans="1:32" s="2244" customFormat="1" ht="11.45" customHeight="1">
      <c r="A57" s="912"/>
      <c r="C57" s="1555"/>
      <c r="D57" s="512"/>
      <c r="E57" s="483" t="str">
        <f>FHD_NUM_P_21</f>
        <v>2.6.2</v>
      </c>
      <c r="F57" s="1569" t="str">
        <f>FHD_P_21</f>
        <v>Расходы на амортизацию нематериальных активов</v>
      </c>
      <c r="G57" s="1794" t="s">
        <v>550</v>
      </c>
      <c r="H57" s="494"/>
      <c r="I57" s="494">
        <v>0</v>
      </c>
      <c r="J57" s="226" t="str">
        <f>FHD_NOTE_P_21</f>
        <v/>
      </c>
      <c r="K57" s="1555" t="str">
        <f t="shared" si="0"/>
        <v/>
      </c>
      <c r="L57" s="1555"/>
      <c r="M57" s="1555"/>
      <c r="R57" s="1555"/>
      <c r="U57" s="481"/>
      <c r="AA57" s="1551"/>
      <c r="AB57" s="1551"/>
      <c r="AC57" s="1551"/>
      <c r="AD57" s="1551"/>
      <c r="AE57" s="1551"/>
      <c r="AF57" s="1079">
        <v>11</v>
      </c>
    </row>
    <row r="58" spans="1:32" s="2244" customFormat="1" ht="17.25" customHeight="1">
      <c r="A58" s="912"/>
      <c r="C58" s="1555"/>
      <c r="D58" s="1557"/>
      <c r="E58" s="483" t="str">
        <f>FHD_NUM_P_22</f>
        <v>2.7</v>
      </c>
      <c r="F58" s="1443" t="str">
        <f>FHD_P_22</f>
        <v>Расходы на аренду имущества, используемого для осуществления регулируемых видов деятельности в сфере водоотведения</v>
      </c>
      <c r="G58" s="1794" t="s">
        <v>550</v>
      </c>
      <c r="H58" s="494"/>
      <c r="I58" s="494">
        <v>828.19338000000005</v>
      </c>
      <c r="J58" s="226" t="str">
        <f>FHD_NOTE_P_22</f>
        <v/>
      </c>
      <c r="K58" s="1555" t="str">
        <f t="shared" si="0"/>
        <v>p</v>
      </c>
      <c r="L58" s="1555"/>
      <c r="M58" s="1555"/>
      <c r="R58" s="1555"/>
      <c r="U58" s="481"/>
      <c r="AA58" s="1551"/>
      <c r="AB58" s="1551"/>
      <c r="AC58" s="1551"/>
      <c r="AD58" s="1551"/>
      <c r="AE58" s="1551"/>
      <c r="AF58" s="1079">
        <v>11</v>
      </c>
    </row>
    <row r="59" spans="1:32" s="2244" customFormat="1" ht="11.45" customHeight="1">
      <c r="A59" s="912"/>
      <c r="C59" s="1555"/>
      <c r="D59" s="512"/>
      <c r="E59" s="483" t="str">
        <f>FHD_NUM_P_23</f>
        <v>2.8</v>
      </c>
      <c r="F59" s="1443" t="str">
        <f>FHD_P_23</f>
        <v>Общепроизводственные расходы, в том числе:</v>
      </c>
      <c r="G59" s="1794" t="s">
        <v>550</v>
      </c>
      <c r="H59" s="494"/>
      <c r="I59" s="494">
        <v>21055.511320000001</v>
      </c>
      <c r="J59" s="226" t="str">
        <f>FHD_NOTE_P_23</f>
        <v>Указывается общая сумма общепроизводственных расходов.</v>
      </c>
      <c r="K59" s="1555" t="str">
        <f t="shared" si="0"/>
        <v>p</v>
      </c>
      <c r="L59" s="1555"/>
      <c r="M59" s="1555"/>
      <c r="R59" s="1555"/>
      <c r="U59" s="481"/>
      <c r="AA59" s="1551"/>
      <c r="AB59" s="1551"/>
      <c r="AC59" s="1551"/>
      <c r="AD59" s="1551"/>
      <c r="AE59" s="1551"/>
      <c r="AF59" s="1079">
        <v>11</v>
      </c>
    </row>
    <row r="60" spans="1:32" s="2244" customFormat="1" ht="11.45" customHeight="1">
      <c r="A60" s="912"/>
      <c r="C60" s="1555"/>
      <c r="D60" s="512"/>
      <c r="E60" s="483" t="str">
        <f>FHD_NUM_P_24</f>
        <v>2.8.1</v>
      </c>
      <c r="F60" s="1569" t="str">
        <f>FHD_P_24</f>
        <v>Расходы на текущий ремонт</v>
      </c>
      <c r="G60" s="1794" t="s">
        <v>550</v>
      </c>
      <c r="H60" s="494"/>
      <c r="I60" s="494">
        <v>15065.903539999999</v>
      </c>
      <c r="J60" s="226" t="str">
        <f>FHD_NOTE_P_24</f>
        <v>Указываются расходы на текущий ремонт, отнесенные к общепроизводственным расходам.</v>
      </c>
      <c r="K60" s="1555" t="str">
        <f t="shared" si="0"/>
        <v/>
      </c>
      <c r="L60" s="1555"/>
      <c r="M60" s="1555"/>
      <c r="R60" s="1555"/>
      <c r="U60" s="481"/>
      <c r="AA60" s="1551"/>
      <c r="AB60" s="1551"/>
      <c r="AC60" s="1551"/>
      <c r="AD60" s="1551"/>
      <c r="AE60" s="1551"/>
      <c r="AF60" s="1079">
        <v>11</v>
      </c>
    </row>
    <row r="61" spans="1:32" s="2244" customFormat="1" ht="11.45" customHeight="1">
      <c r="A61" s="912"/>
      <c r="C61" s="1555"/>
      <c r="D61" s="512"/>
      <c r="E61" s="483" t="str">
        <f>FHD_NUM_P_25</f>
        <v>2.8.2</v>
      </c>
      <c r="F61" s="1569" t="str">
        <f>FHD_P_25</f>
        <v>Расходы на капитальный ремонт</v>
      </c>
      <c r="G61" s="1794" t="s">
        <v>550</v>
      </c>
      <c r="H61" s="494"/>
      <c r="I61" s="494">
        <v>5989.6077800000003</v>
      </c>
      <c r="J61" s="226" t="str">
        <f>FHD_NOTE_P_25</f>
        <v>Указываются расходы на капитальный ремонт, отнесенные к общепроизводственным расходам.</v>
      </c>
      <c r="K61" s="1555" t="str">
        <f t="shared" si="0"/>
        <v/>
      </c>
      <c r="L61" s="1555"/>
      <c r="M61" s="1555"/>
      <c r="R61" s="1555"/>
      <c r="U61" s="481"/>
      <c r="AA61" s="1551"/>
      <c r="AB61" s="1551"/>
      <c r="AC61" s="1551"/>
      <c r="AD61" s="1551"/>
      <c r="AE61" s="1551"/>
      <c r="AF61" s="1079">
        <v>11</v>
      </c>
    </row>
    <row r="62" spans="1:32" s="2244" customFormat="1" ht="11.45" customHeight="1">
      <c r="A62" s="912"/>
      <c r="C62" s="1555"/>
      <c r="D62" s="1557"/>
      <c r="E62" s="483" t="str">
        <f>FHD_NUM_P_26</f>
        <v>2.9</v>
      </c>
      <c r="F62" s="1443" t="str">
        <f>FHD_P_26</f>
        <v>Общехозяйственные расходы, в том числе:</v>
      </c>
      <c r="G62" s="1794" t="s">
        <v>550</v>
      </c>
      <c r="H62" s="494"/>
      <c r="I62" s="494">
        <v>2273.6839500000001</v>
      </c>
      <c r="J62" s="226" t="str">
        <f>FHD_NOTE_P_26</f>
        <v>Указывается общая сумма общехозяйственных расходов.</v>
      </c>
      <c r="K62" s="1555" t="str">
        <f t="shared" si="0"/>
        <v>p</v>
      </c>
      <c r="L62" s="1555"/>
      <c r="M62" s="1555"/>
      <c r="R62" s="1555"/>
      <c r="U62" s="481"/>
      <c r="AA62" s="1551"/>
      <c r="AB62" s="1551"/>
      <c r="AC62" s="1551"/>
      <c r="AD62" s="1551"/>
      <c r="AE62" s="1551"/>
      <c r="AF62" s="1079">
        <v>11</v>
      </c>
    </row>
    <row r="63" spans="1:32" s="2244" customFormat="1" ht="11.45" customHeight="1">
      <c r="A63" s="912"/>
      <c r="C63" s="1555"/>
      <c r="D63" s="1557"/>
      <c r="E63" s="483" t="str">
        <f>FHD_NUM_P_27</f>
        <v>2.9.1</v>
      </c>
      <c r="F63" s="1569" t="str">
        <f>FHD_P_27</f>
        <v>Расходы на текущий ремонт</v>
      </c>
      <c r="G63" s="1794" t="s">
        <v>550</v>
      </c>
      <c r="H63" s="494"/>
      <c r="I63" s="494">
        <v>2273.6839500000001</v>
      </c>
      <c r="J63" s="226" t="str">
        <f>FHD_NOTE_P_27</f>
        <v>Указываются расходы на текущий ремонт, отнесенные к общехозяйственным расходам.</v>
      </c>
      <c r="K63" s="1555" t="str">
        <f t="shared" si="0"/>
        <v/>
      </c>
      <c r="L63" s="1555"/>
      <c r="M63" s="1555"/>
      <c r="R63" s="1555"/>
      <c r="U63" s="481"/>
      <c r="AA63" s="1551"/>
      <c r="AB63" s="1551"/>
      <c r="AC63" s="1551"/>
      <c r="AD63" s="1551"/>
      <c r="AE63" s="1551"/>
      <c r="AF63" s="1079">
        <v>11</v>
      </c>
    </row>
    <row r="64" spans="1:32" s="2244" customFormat="1" ht="11.45" customHeight="1">
      <c r="A64" s="912"/>
      <c r="C64" s="1555"/>
      <c r="D64" s="1557"/>
      <c r="E64" s="483" t="str">
        <f>FHD_NUM_P_28</f>
        <v>2.9.2</v>
      </c>
      <c r="F64" s="1569" t="str">
        <f>FHD_P_28</f>
        <v>Расходы на капитальный ремонт</v>
      </c>
      <c r="G64" s="1794" t="s">
        <v>550</v>
      </c>
      <c r="H64" s="494"/>
      <c r="I64" s="494">
        <v>0</v>
      </c>
      <c r="J64" s="226" t="str">
        <f>FHD_NOTE_P_28</f>
        <v>Указываются расходы на капитальный ремонт, отнесенные к общехозяйственным расходам.</v>
      </c>
      <c r="K64" s="1555" t="str">
        <f t="shared" si="0"/>
        <v/>
      </c>
      <c r="L64" s="1555"/>
      <c r="M64" s="1555"/>
      <c r="R64" s="1555"/>
      <c r="U64" s="481"/>
      <c r="AA64" s="1551"/>
      <c r="AB64" s="1551"/>
      <c r="AC64" s="1551"/>
      <c r="AD64" s="1551"/>
      <c r="AE64" s="1551"/>
      <c r="AF64" s="1079">
        <v>11</v>
      </c>
    </row>
    <row r="65" spans="1:32" s="2244" customFormat="1" ht="11.45" customHeight="1">
      <c r="A65" s="912"/>
      <c r="C65" s="1555"/>
      <c r="D65" s="1557"/>
      <c r="E65" s="483" t="str">
        <f>FHD_NUM_P_29</f>
        <v>2.10</v>
      </c>
      <c r="F65" s="1443" t="str">
        <f>FHD_P_29</f>
        <v>Расходы на капитальный и текущий ремонт основных средств</v>
      </c>
      <c r="G65" s="1794" t="s">
        <v>550</v>
      </c>
      <c r="H65" s="494"/>
      <c r="I65" s="494">
        <v>0</v>
      </c>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5" t="str">
        <f t="shared" si="0"/>
        <v>p</v>
      </c>
      <c r="L65" s="1555"/>
      <c r="M65" s="1555"/>
      <c r="R65" s="1555"/>
      <c r="U65" s="481"/>
      <c r="AA65" s="1551"/>
      <c r="AB65" s="1551"/>
      <c r="AC65" s="1551"/>
      <c r="AD65" s="1551"/>
      <c r="AE65" s="1551"/>
      <c r="AF65" s="1079">
        <v>11</v>
      </c>
    </row>
    <row r="66" spans="1:32" s="2244" customFormat="1" ht="11.45" customHeight="1">
      <c r="A66" s="912"/>
      <c r="C66" s="1555"/>
      <c r="D66" s="1557"/>
      <c r="E66" s="483" t="str">
        <f>FHD_NUM_P_30</f>
        <v>2.10.1</v>
      </c>
      <c r="F66" s="156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4" t="s">
        <v>304</v>
      </c>
      <c r="H66" s="1568" t="s">
        <v>573</v>
      </c>
      <c r="I66" s="1568" t="s">
        <v>573</v>
      </c>
      <c r="J66" s="226" t="str">
        <f>FHD_NOTE_P_30</f>
        <v/>
      </c>
      <c r="K66" s="1555" t="str">
        <f t="shared" si="0"/>
        <v/>
      </c>
      <c r="L66" s="1555">
        <f>IFERROR(MATCH("есть",B_FHD_FLAG_INDEX_1,0),0)</f>
        <v>0</v>
      </c>
      <c r="M66" s="1555"/>
      <c r="R66" s="1555"/>
      <c r="U66" s="481"/>
      <c r="AA66" s="1551"/>
      <c r="AB66" s="1551"/>
      <c r="AC66" s="1551"/>
      <c r="AD66" s="1551"/>
      <c r="AE66" s="1551"/>
      <c r="AF66" s="1079">
        <v>11</v>
      </c>
    </row>
    <row r="67" spans="1:32" s="2244" customFormat="1" ht="23.25" customHeight="1">
      <c r="A67" s="2570" t="s">
        <v>574</v>
      </c>
      <c r="C67" s="1555"/>
      <c r="D67" s="1557"/>
      <c r="E67" s="483" t="str">
        <f>FHD_NUM_P_31</f>
        <v>2.11</v>
      </c>
      <c r="F67" s="1443"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794" t="s">
        <v>550</v>
      </c>
      <c r="H67" s="494"/>
      <c r="I67" s="494">
        <v>0</v>
      </c>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55" t="str">
        <f t="shared" si="0"/>
        <v>p</v>
      </c>
      <c r="L67" s="1555"/>
      <c r="M67" s="1555"/>
      <c r="R67" s="1555"/>
      <c r="U67" s="481"/>
      <c r="AA67" s="1551"/>
      <c r="AB67" s="1551"/>
      <c r="AC67" s="1551"/>
      <c r="AD67" s="1551"/>
      <c r="AE67" s="1551"/>
      <c r="AF67" s="1079">
        <v>22</v>
      </c>
    </row>
    <row r="68" spans="1:32" s="2244" customFormat="1" ht="47.25" customHeight="1">
      <c r="A68" s="2570"/>
      <c r="C68" s="1555"/>
      <c r="D68" s="1557"/>
      <c r="E68" s="483" t="str">
        <f>FHD_NUM_P_32</f>
        <v>2.11.1</v>
      </c>
      <c r="F68" s="1569"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94" t="s">
        <v>304</v>
      </c>
      <c r="H68" s="1568" t="s">
        <v>573</v>
      </c>
      <c r="I68" s="1568" t="s">
        <v>573</v>
      </c>
      <c r="J68" s="226" t="str">
        <f>FHD_NOTE_P_32</f>
        <v/>
      </c>
      <c r="K68" s="1555" t="str">
        <f t="shared" si="0"/>
        <v/>
      </c>
      <c r="L68" s="1555">
        <f>IFERROR(MATCH("есть",B_FHD_FLAG_INDEX_2,0),0)</f>
        <v>0</v>
      </c>
      <c r="M68" s="1555"/>
      <c r="R68" s="1555"/>
      <c r="U68" s="481"/>
      <c r="AA68" s="1551"/>
      <c r="AB68" s="1551"/>
      <c r="AC68" s="1551"/>
      <c r="AD68" s="1551"/>
      <c r="AE68" s="1551"/>
      <c r="AF68" s="1079">
        <v>45</v>
      </c>
    </row>
    <row r="69" spans="1:32" s="2244" customFormat="1" ht="11.45" customHeight="1">
      <c r="A69" s="912"/>
      <c r="C69" s="1555"/>
      <c r="D69" s="1557"/>
      <c r="E69" s="483" t="str">
        <f>FHD_NUM_P_33</f>
        <v>2.12</v>
      </c>
      <c r="F69" s="1443"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795" t="s">
        <v>550</v>
      </c>
      <c r="H69" s="516">
        <f>SUM(H70:H72)</f>
        <v>0</v>
      </c>
      <c r="I69" s="516">
        <f>SUM(I70:I72)</f>
        <v>49069.539420000001</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55" t="str">
        <f t="shared" si="0"/>
        <v>p</v>
      </c>
      <c r="L69" s="1555"/>
      <c r="M69" s="1555"/>
      <c r="R69" s="1555"/>
      <c r="U69" s="481"/>
      <c r="AA69" s="1551"/>
      <c r="AB69" s="1551"/>
      <c r="AC69" s="1551"/>
      <c r="AD69" s="1551"/>
      <c r="AE69" s="1551"/>
      <c r="AF69" s="1079">
        <v>11</v>
      </c>
    </row>
    <row r="70" spans="1:32" s="2245" customFormat="1" ht="1.1499999999999999" customHeight="1">
      <c r="A70" s="1086"/>
      <c r="D70" s="485"/>
      <c r="E70" s="937" t="str">
        <f>E69&amp;".0"</f>
        <v>2.12.0</v>
      </c>
      <c r="F70" s="916"/>
      <c r="G70" s="937"/>
      <c r="H70" s="917"/>
      <c r="I70" s="917"/>
      <c r="J70" s="918"/>
      <c r="K70" s="1555" t="str">
        <f t="shared" si="0"/>
        <v/>
      </c>
      <c r="AF70" s="1555">
        <v>1</v>
      </c>
    </row>
    <row r="71" spans="1:32" s="2278" customFormat="1" ht="22.5" customHeight="1">
      <c r="A71" s="2221"/>
      <c r="B71" s="2222"/>
      <c r="C71" s="2223"/>
      <c r="D71" s="2224" t="s">
        <v>575</v>
      </c>
      <c r="E71" s="2225" t="str">
        <f>E69&amp;".1"</f>
        <v>2.12.1</v>
      </c>
      <c r="F71" s="2226" t="s">
        <v>576</v>
      </c>
      <c r="G71" s="2225" t="s">
        <v>550</v>
      </c>
      <c r="H71" s="2227"/>
      <c r="I71" s="2227">
        <v>49069.539420000001</v>
      </c>
      <c r="J71" s="2228" t="s">
        <v>553</v>
      </c>
      <c r="K71" s="2229"/>
      <c r="L71" s="2223"/>
      <c r="M71" s="2223"/>
      <c r="N71" s="2222"/>
      <c r="O71" s="2222"/>
      <c r="P71" s="2222"/>
      <c r="Q71" s="2222"/>
      <c r="R71" s="2223"/>
      <c r="S71" s="2222"/>
      <c r="T71" s="2222"/>
      <c r="U71" s="2230"/>
      <c r="V71" s="2222"/>
      <c r="W71" s="2222"/>
      <c r="X71" s="2222"/>
      <c r="Y71" s="2222"/>
      <c r="Z71" s="2222"/>
      <c r="AA71" s="2231"/>
      <c r="AB71" s="2231"/>
      <c r="AC71" s="2231"/>
      <c r="AD71" s="2231"/>
      <c r="AE71" s="2231"/>
      <c r="AF71" s="2222">
        <v>0</v>
      </c>
    </row>
    <row r="72" spans="1:32" s="2244" customFormat="1" ht="14.65" customHeight="1">
      <c r="A72" s="912"/>
      <c r="C72" s="1555"/>
      <c r="D72" s="1552"/>
      <c r="E72" s="507"/>
      <c r="F72" s="508" t="s">
        <v>577</v>
      </c>
      <c r="G72" s="509"/>
      <c r="H72" s="510"/>
      <c r="I72" s="510"/>
      <c r="J72" s="238"/>
      <c r="K72" s="1555"/>
      <c r="L72" s="1555"/>
      <c r="M72" s="1555"/>
      <c r="R72" s="1555"/>
      <c r="U72" s="481"/>
      <c r="AA72" s="1551"/>
      <c r="AB72" s="1551"/>
      <c r="AC72" s="1551"/>
      <c r="AD72" s="1551"/>
      <c r="AE72" s="1551"/>
      <c r="AF72" s="1079">
        <v>14</v>
      </c>
    </row>
    <row r="73" spans="1:32" s="2244" customFormat="1" ht="18.75" hidden="1" customHeight="1">
      <c r="A73" s="914" t="s">
        <v>578</v>
      </c>
      <c r="C73" s="1555"/>
      <c r="D73" s="1557"/>
      <c r="E73" s="483" t="str">
        <f>FHD_NUM_P_34</f>
        <v/>
      </c>
      <c r="F73" s="1796" t="str">
        <f>FHD_P_34</f>
        <v/>
      </c>
      <c r="G73" s="1794" t="s">
        <v>550</v>
      </c>
      <c r="H73" s="494"/>
      <c r="I73" s="494"/>
      <c r="J73" s="226" t="str">
        <f>FHD_NOTE_P_34</f>
        <v/>
      </c>
      <c r="K73" s="480"/>
      <c r="L73" s="1555"/>
      <c r="M73" s="1555"/>
      <c r="R73" s="1555"/>
      <c r="U73" s="481"/>
      <c r="AA73" s="1551"/>
      <c r="AB73" s="1551"/>
      <c r="AC73" s="1551"/>
      <c r="AD73" s="1551"/>
      <c r="AE73" s="1551"/>
      <c r="AF73" s="1079">
        <v>0</v>
      </c>
    </row>
    <row r="74" spans="1:32" s="2244" customFormat="1" ht="20.25" customHeight="1">
      <c r="A74" s="912"/>
      <c r="C74" s="1555"/>
      <c r="D74" s="512"/>
      <c r="E74" s="483" t="str">
        <f>FHD_NUM_P_35</f>
        <v>3</v>
      </c>
      <c r="F74" s="1796" t="str">
        <f>FHD_P_35</f>
        <v>Чистая прибыль, полученная от регулируемого вида деятельности в сфере водоотведения, в том числе:</v>
      </c>
      <c r="G74" s="1794" t="s">
        <v>550</v>
      </c>
      <c r="H74" s="494"/>
      <c r="I74" s="494">
        <v>15505.227919999999</v>
      </c>
      <c r="J74" s="226" t="str">
        <f>FHD_NOTE_P_35</f>
        <v>Указывается общая сумма чистой прибыли, полученной от регулируемого вида деятельности.</v>
      </c>
      <c r="K74" s="480"/>
      <c r="L74" s="1555"/>
      <c r="M74" s="1555"/>
      <c r="R74" s="1555"/>
      <c r="U74" s="481"/>
      <c r="AA74" s="1551"/>
      <c r="AB74" s="1551"/>
      <c r="AC74" s="1551"/>
      <c r="AD74" s="1551"/>
      <c r="AE74" s="1551"/>
      <c r="AF74" s="1079">
        <v>19</v>
      </c>
    </row>
    <row r="75" spans="1:32" s="2244" customFormat="1" ht="19.899999999999999" customHeight="1">
      <c r="A75" s="912"/>
      <c r="C75" s="1555"/>
      <c r="D75" s="1557"/>
      <c r="E75" s="483" t="str">
        <f>FHD_NUM_P_36</f>
        <v>3.1</v>
      </c>
      <c r="F75" s="1443" t="str">
        <f>FHD_P_36</f>
        <v>Размер расходования чистой прибыли на финансирование мероприятий, предусмотренных инвестиционной программой регулируемой организации</v>
      </c>
      <c r="G75" s="1794" t="s">
        <v>550</v>
      </c>
      <c r="H75" s="494"/>
      <c r="I75" s="494">
        <v>0</v>
      </c>
      <c r="J75" s="226" t="str">
        <f>FHD_NOTE_P_36</f>
        <v/>
      </c>
      <c r="K75" s="480"/>
      <c r="L75" s="1555"/>
      <c r="M75" s="1555"/>
      <c r="R75" s="1555"/>
      <c r="U75" s="481"/>
      <c r="AA75" s="1551"/>
      <c r="AB75" s="1551"/>
      <c r="AC75" s="1551"/>
      <c r="AD75" s="1551"/>
      <c r="AE75" s="1551"/>
      <c r="AF75" s="1079">
        <v>19</v>
      </c>
    </row>
    <row r="76" spans="1:32" s="2244" customFormat="1" ht="20.25" customHeight="1">
      <c r="A76" s="912"/>
      <c r="C76" s="1555"/>
      <c r="D76" s="1557"/>
      <c r="E76" s="483" t="str">
        <f>FHD_NUM_P_37</f>
        <v>4</v>
      </c>
      <c r="F76" s="1796" t="str">
        <f>FHD_P_37</f>
        <v>Изменение стоимости основных фондов, в том числе:</v>
      </c>
      <c r="G76" s="1794" t="s">
        <v>550</v>
      </c>
      <c r="H76" s="494"/>
      <c r="I76" s="494">
        <v>46423</v>
      </c>
      <c r="J76" s="226" t="str">
        <f>FHD_NOTE_P_37</f>
        <v>Указывается общее изменение стоимости основных фондов.</v>
      </c>
      <c r="K76" s="480"/>
      <c r="L76" s="1555"/>
      <c r="M76" s="1555"/>
      <c r="R76" s="1555"/>
      <c r="U76" s="481"/>
      <c r="AA76" s="1551"/>
      <c r="AB76" s="1551"/>
      <c r="AC76" s="1551"/>
      <c r="AD76" s="1551"/>
      <c r="AE76" s="1551"/>
      <c r="AF76" s="1079">
        <v>19</v>
      </c>
    </row>
    <row r="77" spans="1:32" s="2244" customFormat="1" ht="20.25" customHeight="1">
      <c r="A77" s="912"/>
      <c r="C77" s="1555"/>
      <c r="D77" s="1557"/>
      <c r="E77" s="483" t="str">
        <f>FHD_NUM_P_38</f>
        <v>4.1</v>
      </c>
      <c r="F77" s="1443" t="str">
        <f>FHD_P_38</f>
        <v>Изменение стоимости основных фондов за счет их ввода в эксплуатацию (вывода из эксплуатации)</v>
      </c>
      <c r="G77" s="1794" t="s">
        <v>550</v>
      </c>
      <c r="H77" s="494"/>
      <c r="I77" s="494">
        <v>46423</v>
      </c>
      <c r="J77" s="226" t="str">
        <f>FHD_NOTE_P_38</f>
        <v>Указываются общее изменение стоимости основных фондов за счет их ввода в эксплуатацию и вывода из эксплуатации.</v>
      </c>
      <c r="K77" s="480"/>
      <c r="L77" s="1555"/>
      <c r="M77" s="1555"/>
      <c r="R77" s="1555"/>
      <c r="U77" s="481"/>
      <c r="AA77" s="1551"/>
      <c r="AB77" s="1551"/>
      <c r="AC77" s="1551"/>
      <c r="AD77" s="1551"/>
      <c r="AE77" s="1551"/>
      <c r="AF77" s="1079">
        <v>19</v>
      </c>
    </row>
    <row r="78" spans="1:32" s="2244" customFormat="1" ht="20.25" customHeight="1">
      <c r="A78" s="912"/>
      <c r="C78" s="1555"/>
      <c r="D78" s="1557"/>
      <c r="E78" s="483" t="str">
        <f>FHD_NUM_P_39</f>
        <v>4.1.1</v>
      </c>
      <c r="F78" s="1569" t="str">
        <f>FHD_P_39</f>
        <v>Изменение стоимости основных фондов за счет их ввода в эксплуатацию</v>
      </c>
      <c r="G78" s="1985" t="s">
        <v>550</v>
      </c>
      <c r="H78" s="494"/>
      <c r="I78" s="494">
        <v>46513.5</v>
      </c>
      <c r="J78" s="226" t="str">
        <f>FHD_NOTE_P_39</f>
        <v>Указываются изменение стоимости основных фондов за счет их ввода в эксплуатацию.</v>
      </c>
      <c r="K78" s="480"/>
      <c r="L78" s="1555"/>
      <c r="M78" s="1555"/>
      <c r="R78" s="1555"/>
      <c r="U78" s="481"/>
      <c r="AA78" s="1551"/>
      <c r="AB78" s="1551"/>
      <c r="AC78" s="1551"/>
      <c r="AD78" s="1551"/>
      <c r="AE78" s="1551"/>
      <c r="AF78" s="1079">
        <v>19</v>
      </c>
    </row>
    <row r="79" spans="1:32" s="2244" customFormat="1" ht="20.25" customHeight="1">
      <c r="A79" s="912"/>
      <c r="C79" s="1555"/>
      <c r="D79" s="1557"/>
      <c r="E79" s="483" t="str">
        <f>FHD_NUM_P_40</f>
        <v>4.1.2</v>
      </c>
      <c r="F79" s="1989" t="str">
        <f>FHD_P_40</f>
        <v>Изменение стоимости основных фондов за счет их вывода в эксплуатацию</v>
      </c>
      <c r="G79" s="1984" t="s">
        <v>550</v>
      </c>
      <c r="H79" s="902"/>
      <c r="I79" s="494">
        <v>90.5</v>
      </c>
      <c r="J79" s="226" t="str">
        <f>FHD_NOTE_P_40</f>
        <v>Указываются изменение стоимости основных фондов за счет их вывода из эксплуатации.</v>
      </c>
      <c r="K79" s="480"/>
      <c r="L79" s="1555"/>
      <c r="M79" s="1555"/>
      <c r="R79" s="1555"/>
      <c r="U79" s="481"/>
      <c r="AA79" s="1551"/>
      <c r="AB79" s="1551"/>
      <c r="AC79" s="1551"/>
      <c r="AD79" s="1551"/>
      <c r="AE79" s="1551"/>
      <c r="AF79" s="1079">
        <v>19</v>
      </c>
    </row>
    <row r="80" spans="1:32" s="2244" customFormat="1" ht="19.899999999999999" customHeight="1">
      <c r="A80" s="912"/>
      <c r="C80" s="1555"/>
      <c r="D80" s="1557"/>
      <c r="E80" s="483" t="str">
        <f>FHD_NUM_P_41</f>
        <v>4.2</v>
      </c>
      <c r="F80" s="1988" t="str">
        <f>FHD_P_41</f>
        <v>Изменение стоимости основных фондов за счет их переоценки</v>
      </c>
      <c r="G80" s="1984" t="s">
        <v>550</v>
      </c>
      <c r="H80" s="902"/>
      <c r="I80" s="494">
        <v>0</v>
      </c>
      <c r="J80" s="226" t="str">
        <f>FHD_NOTE_P_41</f>
        <v/>
      </c>
      <c r="K80" s="480"/>
      <c r="L80" s="1555"/>
      <c r="M80" s="1555"/>
      <c r="R80" s="1555"/>
      <c r="U80" s="481"/>
      <c r="AA80" s="1551"/>
      <c r="AB80" s="1551"/>
      <c r="AC80" s="1551"/>
      <c r="AD80" s="1551"/>
      <c r="AE80" s="1551"/>
      <c r="AF80" s="1079">
        <v>19</v>
      </c>
    </row>
    <row r="81" spans="1:32" s="2244" customFormat="1" ht="20.25" customHeight="1">
      <c r="A81" s="914" t="s">
        <v>579</v>
      </c>
      <c r="C81" s="1555"/>
      <c r="D81" s="1557"/>
      <c r="E81" s="483" t="str">
        <f>FHD_NUM_P_42</f>
        <v>5</v>
      </c>
      <c r="F81" s="1986" t="str">
        <f>FHD_P_42</f>
        <v>Валовая прибыль (убытки) от продажи товаров и услуг по регулируемым видам деятельности в сфере водоотведения</v>
      </c>
      <c r="G81" s="1984" t="s">
        <v>550</v>
      </c>
      <c r="H81" s="902"/>
      <c r="I81" s="494">
        <v>54449.620089999997</v>
      </c>
      <c r="J81" s="226" t="str">
        <f>FHD_NOTE_P_42</f>
        <v/>
      </c>
      <c r="K81" s="480"/>
      <c r="L81" s="1555"/>
      <c r="M81" s="1555"/>
      <c r="R81" s="1555"/>
      <c r="U81" s="481"/>
      <c r="AA81" s="1551"/>
      <c r="AB81" s="1551"/>
      <c r="AC81" s="1551"/>
      <c r="AD81" s="1551"/>
      <c r="AE81" s="1551"/>
      <c r="AF81" s="1079">
        <v>19</v>
      </c>
    </row>
    <row r="82" spans="1:32" s="2244" customFormat="1" ht="20.25" customHeight="1">
      <c r="A82" s="912"/>
      <c r="C82" s="1555"/>
      <c r="D82" s="1557"/>
      <c r="E82" s="483" t="str">
        <f>FHD_NUM_P_43</f>
        <v>6</v>
      </c>
      <c r="F82" s="1796" t="str">
        <f>FHD_P_43</f>
        <v>Годовая бухгалтерская (финансовая) отчетность, включая бухгалтерский баланс и приложения к нему</v>
      </c>
      <c r="G82" s="1987" t="s">
        <v>304</v>
      </c>
      <c r="H82" s="979"/>
      <c r="I82" s="2219" t="s">
        <v>580</v>
      </c>
      <c r="J82"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2" s="480"/>
      <c r="L82" s="1555"/>
      <c r="M82" s="1555"/>
      <c r="R82" s="1555"/>
      <c r="U82" s="481"/>
      <c r="AA82" s="1551"/>
      <c r="AB82" s="1551"/>
      <c r="AC82" s="1551"/>
      <c r="AD82" s="1551"/>
      <c r="AE82" s="1551"/>
      <c r="AF82" s="1079">
        <v>19</v>
      </c>
    </row>
    <row r="83" spans="1:32" s="2244" customFormat="1" ht="18.75" hidden="1" customHeight="1">
      <c r="A83" s="2570" t="s">
        <v>581</v>
      </c>
      <c r="C83" s="672"/>
      <c r="D83" s="670"/>
      <c r="E83" s="483" t="str">
        <f>FHD_NUM_P_44</f>
        <v/>
      </c>
      <c r="F83" s="1796" t="str">
        <f>FHD_P_44</f>
        <v/>
      </c>
      <c r="G83" s="1797" t="s">
        <v>582</v>
      </c>
      <c r="H83" s="903"/>
      <c r="I83" s="514"/>
      <c r="J83" s="226" t="str">
        <f>FHD_NOTE_P_44</f>
        <v/>
      </c>
      <c r="K83" s="671"/>
      <c r="L83" s="672"/>
      <c r="M83" s="672"/>
      <c r="R83" s="672"/>
      <c r="U83" s="673"/>
      <c r="AA83" s="674"/>
      <c r="AB83" s="674"/>
      <c r="AC83" s="674"/>
      <c r="AD83" s="674"/>
      <c r="AE83" s="674"/>
      <c r="AF83" s="836">
        <v>0</v>
      </c>
    </row>
    <row r="84" spans="1:32" s="2244" customFormat="1" ht="18.75" hidden="1" customHeight="1">
      <c r="A84" s="2570"/>
      <c r="C84" s="672"/>
      <c r="D84" s="670"/>
      <c r="E84" s="483" t="str">
        <f>FHD_NUM_P_45</f>
        <v/>
      </c>
      <c r="F84" s="1796" t="str">
        <f>FHD_P_45</f>
        <v/>
      </c>
      <c r="G84" s="1797" t="s">
        <v>582</v>
      </c>
      <c r="H84" s="903"/>
      <c r="I84" s="514"/>
      <c r="J84" s="226" t="str">
        <f>FHD_NOTE_P_45</f>
        <v/>
      </c>
      <c r="K84" s="671"/>
      <c r="L84" s="672"/>
      <c r="M84" s="672"/>
      <c r="R84" s="672"/>
      <c r="U84" s="673"/>
      <c r="AA84" s="674"/>
      <c r="AB84" s="674"/>
      <c r="AC84" s="674"/>
      <c r="AD84" s="674"/>
      <c r="AE84" s="674"/>
      <c r="AF84" s="836">
        <v>0</v>
      </c>
    </row>
    <row r="85" spans="1:32" s="2244" customFormat="1" ht="18.75" hidden="1" customHeight="1">
      <c r="A85" s="2570"/>
      <c r="C85" s="672"/>
      <c r="D85" s="675"/>
      <c r="E85" s="483" t="str">
        <f>FHD_NUM_P_46</f>
        <v/>
      </c>
      <c r="F85" s="1796" t="str">
        <f>FHD_P_46</f>
        <v/>
      </c>
      <c r="G85" s="1797" t="s">
        <v>582</v>
      </c>
      <c r="H85" s="903"/>
      <c r="I85" s="514"/>
      <c r="J85" s="226" t="str">
        <f>FHD_NOTE_P_46</f>
        <v/>
      </c>
      <c r="K85" s="671"/>
      <c r="L85" s="672"/>
      <c r="M85" s="672"/>
      <c r="R85" s="672"/>
      <c r="U85" s="673"/>
      <c r="AA85" s="674"/>
      <c r="AB85" s="674"/>
      <c r="AC85" s="674"/>
      <c r="AD85" s="674"/>
      <c r="AE85" s="674"/>
      <c r="AF85" s="836">
        <v>0</v>
      </c>
    </row>
    <row r="86" spans="1:32" s="2244" customFormat="1" ht="18.75" hidden="1" customHeight="1">
      <c r="A86" s="2570"/>
      <c r="C86" s="672"/>
      <c r="D86" s="670"/>
      <c r="E86" s="483" t="str">
        <f>FHD_NUM_P_47</f>
        <v/>
      </c>
      <c r="F86" s="1796" t="str">
        <f>FHD_P_47</f>
        <v/>
      </c>
      <c r="G86" s="1797" t="s">
        <v>582</v>
      </c>
      <c r="H86" s="903"/>
      <c r="I86" s="514"/>
      <c r="J86" s="226" t="str">
        <f>FHD_NOTE_P_47</f>
        <v/>
      </c>
      <c r="K86" s="671"/>
      <c r="L86" s="672"/>
      <c r="M86" s="672"/>
      <c r="R86" s="672"/>
      <c r="U86" s="673"/>
      <c r="AA86" s="674"/>
      <c r="AB86" s="674"/>
      <c r="AC86" s="674"/>
      <c r="AD86" s="674"/>
      <c r="AE86" s="674"/>
      <c r="AF86" s="836">
        <v>0</v>
      </c>
    </row>
    <row r="87" spans="1:32" s="2238" customFormat="1" ht="18.75" hidden="1" customHeight="1">
      <c r="A87" s="2570"/>
      <c r="B87" s="836"/>
      <c r="C87" s="672"/>
      <c r="D87" s="670"/>
      <c r="E87" s="483" t="str">
        <f>FHD_NUM_P_48</f>
        <v/>
      </c>
      <c r="F87" s="1796" t="str">
        <f>FHD_P_48</f>
        <v/>
      </c>
      <c r="G87" s="1797" t="s">
        <v>582</v>
      </c>
      <c r="H87" s="903"/>
      <c r="I87" s="514"/>
      <c r="J87" s="226" t="str">
        <f>FHD_NOTE_P_48</f>
        <v/>
      </c>
      <c r="K87" s="671"/>
      <c r="L87" s="672"/>
      <c r="M87" s="672"/>
      <c r="N87" s="836"/>
      <c r="O87" s="836"/>
      <c r="P87" s="836"/>
      <c r="Q87" s="836"/>
      <c r="R87" s="672"/>
      <c r="S87" s="836"/>
      <c r="T87" s="836"/>
      <c r="U87" s="673"/>
      <c r="V87" s="836"/>
      <c r="W87" s="836"/>
      <c r="X87" s="836"/>
      <c r="Y87" s="836"/>
      <c r="Z87" s="836"/>
      <c r="AA87" s="674"/>
      <c r="AB87" s="674"/>
      <c r="AC87" s="674"/>
      <c r="AD87" s="674"/>
      <c r="AE87" s="674"/>
      <c r="AF87" s="676">
        <v>0</v>
      </c>
    </row>
    <row r="88" spans="1:32" s="2238" customFormat="1" ht="18.75" hidden="1" customHeight="1">
      <c r="A88" s="2570"/>
      <c r="B88" s="836"/>
      <c r="C88" s="672"/>
      <c r="D88" s="670"/>
      <c r="E88" s="483" t="str">
        <f>FHD_NUM_P_49</f>
        <v/>
      </c>
      <c r="F88" s="1796" t="str">
        <f>FHD_P_49</f>
        <v/>
      </c>
      <c r="G88" s="1797" t="s">
        <v>582</v>
      </c>
      <c r="H88" s="904">
        <f>SUM(H89:H90)</f>
        <v>0</v>
      </c>
      <c r="I88" s="686">
        <f>SUM(I89:I90)</f>
        <v>0</v>
      </c>
      <c r="J88" s="226" t="str">
        <f>FHD_NOTE_P_49</f>
        <v/>
      </c>
      <c r="K88" s="671"/>
      <c r="L88" s="672"/>
      <c r="M88" s="672"/>
      <c r="N88" s="836"/>
      <c r="O88" s="836"/>
      <c r="P88" s="836"/>
      <c r="Q88" s="836"/>
      <c r="R88" s="672"/>
      <c r="S88" s="836"/>
      <c r="T88" s="836"/>
      <c r="U88" s="673"/>
      <c r="V88" s="836"/>
      <c r="W88" s="836"/>
      <c r="X88" s="836"/>
      <c r="Y88" s="836"/>
      <c r="Z88" s="836"/>
      <c r="AA88" s="674"/>
      <c r="AB88" s="674"/>
      <c r="AC88" s="674"/>
      <c r="AD88" s="674"/>
      <c r="AE88" s="674"/>
      <c r="AF88" s="676">
        <v>0</v>
      </c>
    </row>
    <row r="89" spans="1:32" s="2238" customFormat="1" ht="18.75" hidden="1" customHeight="1">
      <c r="A89" s="2570"/>
      <c r="B89" s="836"/>
      <c r="C89" s="672"/>
      <c r="D89" s="670"/>
      <c r="E89" s="483" t="str">
        <f>FHD_NUM_P_50</f>
        <v/>
      </c>
      <c r="F89" s="1796" t="str">
        <f>FHD_P_50</f>
        <v/>
      </c>
      <c r="G89" s="1797" t="s">
        <v>582</v>
      </c>
      <c r="H89" s="903"/>
      <c r="I89" s="514"/>
      <c r="J89" s="226" t="str">
        <f>FHD_NOTE_P_50</f>
        <v/>
      </c>
      <c r="K89" s="671"/>
      <c r="L89" s="672"/>
      <c r="M89" s="672"/>
      <c r="N89" s="836"/>
      <c r="O89" s="836"/>
      <c r="P89" s="836"/>
      <c r="Q89" s="836"/>
      <c r="R89" s="672"/>
      <c r="S89" s="836"/>
      <c r="T89" s="836"/>
      <c r="U89" s="673"/>
      <c r="V89" s="836"/>
      <c r="W89" s="836"/>
      <c r="X89" s="836"/>
      <c r="Y89" s="836"/>
      <c r="Z89" s="836"/>
      <c r="AA89" s="674"/>
      <c r="AB89" s="674"/>
      <c r="AC89" s="674"/>
      <c r="AD89" s="674"/>
      <c r="AE89" s="674"/>
      <c r="AF89" s="676">
        <v>0</v>
      </c>
    </row>
    <row r="90" spans="1:32" s="2238" customFormat="1" ht="18.75" hidden="1" customHeight="1">
      <c r="A90" s="2570"/>
      <c r="B90" s="836"/>
      <c r="C90" s="672"/>
      <c r="D90" s="670"/>
      <c r="E90" s="483" t="str">
        <f>FHD_NUM_P_51</f>
        <v/>
      </c>
      <c r="F90" s="1796" t="str">
        <f>FHD_P_51</f>
        <v/>
      </c>
      <c r="G90" s="1797" t="s">
        <v>582</v>
      </c>
      <c r="H90" s="903"/>
      <c r="I90" s="514"/>
      <c r="J90" s="226" t="str">
        <f>FHD_NOTE_P_51</f>
        <v/>
      </c>
      <c r="K90" s="671"/>
      <c r="L90" s="672"/>
      <c r="M90" s="672"/>
      <c r="N90" s="836"/>
      <c r="O90" s="836"/>
      <c r="P90" s="836"/>
      <c r="Q90" s="836"/>
      <c r="R90" s="672"/>
      <c r="S90" s="836"/>
      <c r="T90" s="836"/>
      <c r="U90" s="673"/>
      <c r="V90" s="836"/>
      <c r="W90" s="836"/>
      <c r="X90" s="836"/>
      <c r="Y90" s="836"/>
      <c r="Z90" s="836"/>
      <c r="AA90" s="674"/>
      <c r="AB90" s="674"/>
      <c r="AC90" s="674"/>
      <c r="AD90" s="674"/>
      <c r="AE90" s="674"/>
      <c r="AF90" s="676">
        <v>0</v>
      </c>
    </row>
    <row r="91" spans="1:32" s="2238" customFormat="1" ht="18.75" hidden="1" customHeight="1">
      <c r="A91" s="2570"/>
      <c r="B91" s="836"/>
      <c r="C91" s="672"/>
      <c r="D91" s="670"/>
      <c r="E91" s="483" t="str">
        <f>FHD_NUM_P_52</f>
        <v/>
      </c>
      <c r="F91" s="1796" t="str">
        <f>FHD_P_52</f>
        <v/>
      </c>
      <c r="G91" s="1797" t="s">
        <v>556</v>
      </c>
      <c r="H91" s="902"/>
      <c r="I91" s="494"/>
      <c r="J91" s="226" t="str">
        <f>FHD_NOTE_P_52</f>
        <v/>
      </c>
      <c r="K91" s="671"/>
      <c r="L91" s="672"/>
      <c r="M91" s="672"/>
      <c r="N91" s="836"/>
      <c r="O91" s="836"/>
      <c r="P91" s="836"/>
      <c r="Q91" s="836"/>
      <c r="R91" s="672"/>
      <c r="S91" s="836"/>
      <c r="T91" s="836"/>
      <c r="U91" s="673"/>
      <c r="V91" s="836"/>
      <c r="W91" s="836"/>
      <c r="X91" s="836"/>
      <c r="Y91" s="836"/>
      <c r="Z91" s="836"/>
      <c r="AA91" s="674"/>
      <c r="AB91" s="674"/>
      <c r="AC91" s="674"/>
      <c r="AD91" s="674"/>
      <c r="AE91" s="674"/>
      <c r="AF91" s="676">
        <v>0</v>
      </c>
    </row>
    <row r="92" spans="1:32" s="2244" customFormat="1" ht="18.75" hidden="1" customHeight="1">
      <c r="A92" s="2570" t="s">
        <v>583</v>
      </c>
      <c r="C92" s="672"/>
      <c r="D92" s="670"/>
      <c r="E92" s="483" t="str">
        <f>FHD_NUM_P_53</f>
        <v/>
      </c>
      <c r="F92" s="1796" t="str">
        <f>FHD_P_53</f>
        <v/>
      </c>
      <c r="G92" s="1797" t="s">
        <v>582</v>
      </c>
      <c r="H92" s="903"/>
      <c r="I92" s="514"/>
      <c r="J92" s="226" t="str">
        <f>FHD_NOTE_P_53</f>
        <v/>
      </c>
      <c r="K92" s="671"/>
      <c r="L92" s="672"/>
      <c r="M92" s="672"/>
      <c r="R92" s="672"/>
      <c r="U92" s="673"/>
      <c r="AA92" s="674"/>
      <c r="AB92" s="674"/>
      <c r="AC92" s="674"/>
      <c r="AD92" s="674"/>
      <c r="AE92" s="674"/>
      <c r="AF92" s="836">
        <v>0</v>
      </c>
    </row>
    <row r="93" spans="1:32" s="2244" customFormat="1" ht="18.75" hidden="1" customHeight="1">
      <c r="A93" s="2570"/>
      <c r="C93" s="672"/>
      <c r="D93" s="670"/>
      <c r="E93" s="483" t="str">
        <f>FHD_NUM_P_54</f>
        <v/>
      </c>
      <c r="F93" s="1796" t="str">
        <f>FHD_P_54</f>
        <v/>
      </c>
      <c r="G93" s="1797" t="s">
        <v>582</v>
      </c>
      <c r="H93" s="903"/>
      <c r="I93" s="514"/>
      <c r="J93" s="226" t="str">
        <f>FHD_NOTE_P_54</f>
        <v/>
      </c>
      <c r="K93" s="671"/>
      <c r="L93" s="672"/>
      <c r="M93" s="672"/>
      <c r="R93" s="672"/>
      <c r="U93" s="673"/>
      <c r="AA93" s="674"/>
      <c r="AB93" s="674"/>
      <c r="AC93" s="674"/>
      <c r="AD93" s="674"/>
      <c r="AE93" s="674"/>
      <c r="AF93" s="836">
        <v>0</v>
      </c>
    </row>
    <row r="94" spans="1:32" s="2244" customFormat="1" ht="18.75" hidden="1" customHeight="1">
      <c r="A94" s="2570"/>
      <c r="C94" s="672"/>
      <c r="D94" s="675"/>
      <c r="E94" s="483" t="str">
        <f>FHD_NUM_P_55</f>
        <v/>
      </c>
      <c r="F94" s="1796" t="str">
        <f>FHD_P_55</f>
        <v/>
      </c>
      <c r="G94" s="1800"/>
      <c r="H94" s="903"/>
      <c r="I94" s="514"/>
      <c r="J94" s="226" t="str">
        <f>FHD_NOTE_P_55</f>
        <v/>
      </c>
      <c r="K94" s="671"/>
      <c r="L94" s="672"/>
      <c r="M94" s="672"/>
      <c r="R94" s="672"/>
      <c r="U94" s="673"/>
      <c r="AA94" s="674"/>
      <c r="AB94" s="674"/>
      <c r="AC94" s="674"/>
      <c r="AD94" s="674"/>
      <c r="AE94" s="674"/>
      <c r="AF94" s="836">
        <v>0</v>
      </c>
    </row>
    <row r="95" spans="1:32" s="2244" customFormat="1" ht="18.75" hidden="1" customHeight="1">
      <c r="A95" s="2570"/>
      <c r="C95" s="672"/>
      <c r="D95" s="670"/>
      <c r="E95" s="483" t="str">
        <f>FHD_NUM_P_56</f>
        <v/>
      </c>
      <c r="F95" s="1796" t="str">
        <f>FHD_P_56</f>
        <v/>
      </c>
      <c r="G95" s="1797" t="s">
        <v>584</v>
      </c>
      <c r="H95" s="903"/>
      <c r="I95" s="514"/>
      <c r="J95" s="226" t="str">
        <f>FHD_NOTE_P_56</f>
        <v/>
      </c>
      <c r="K95" s="671"/>
      <c r="L95" s="672"/>
      <c r="M95" s="672"/>
      <c r="R95" s="672"/>
      <c r="U95" s="673"/>
      <c r="AA95" s="674"/>
      <c r="AB95" s="674"/>
      <c r="AC95" s="674"/>
      <c r="AD95" s="674"/>
      <c r="AE95" s="674"/>
      <c r="AF95" s="836">
        <v>0</v>
      </c>
    </row>
    <row r="96" spans="1:32" s="2238" customFormat="1" ht="18.75" hidden="1" customHeight="1">
      <c r="A96" s="2570"/>
      <c r="B96" s="836"/>
      <c r="C96" s="672"/>
      <c r="D96" s="670"/>
      <c r="E96" s="483" t="str">
        <f>FHD_NUM_P_57</f>
        <v/>
      </c>
      <c r="F96" s="1796" t="str">
        <f>FHD_P_57</f>
        <v/>
      </c>
      <c r="G96" s="1797" t="s">
        <v>556</v>
      </c>
      <c r="H96" s="902"/>
      <c r="I96" s="494"/>
      <c r="J96" s="226" t="str">
        <f>FHD_NOTE_P_57</f>
        <v/>
      </c>
      <c r="K96" s="671"/>
      <c r="L96" s="672"/>
      <c r="M96" s="672"/>
      <c r="N96" s="836"/>
      <c r="O96" s="836"/>
      <c r="P96" s="836"/>
      <c r="Q96" s="836"/>
      <c r="R96" s="672"/>
      <c r="S96" s="836"/>
      <c r="T96" s="836"/>
      <c r="U96" s="673"/>
      <c r="V96" s="836"/>
      <c r="W96" s="836"/>
      <c r="X96" s="836"/>
      <c r="Y96" s="836"/>
      <c r="Z96" s="836"/>
      <c r="AA96" s="674"/>
      <c r="AB96" s="674"/>
      <c r="AC96" s="674"/>
      <c r="AD96" s="674"/>
      <c r="AE96" s="674"/>
      <c r="AF96" s="676">
        <v>0</v>
      </c>
    </row>
    <row r="97" spans="1:32" ht="27" customHeight="1">
      <c r="A97" s="2570" t="s">
        <v>585</v>
      </c>
      <c r="D97" s="1557"/>
      <c r="E97" s="483" t="str">
        <f>FHD_NUM_P_58</f>
        <v>7</v>
      </c>
      <c r="F97" s="1796" t="str">
        <f>FHD_P_58</f>
        <v>Объём сточных вод, принятых от потребителей</v>
      </c>
      <c r="G97" s="1797" t="s">
        <v>582</v>
      </c>
      <c r="H97" s="903"/>
      <c r="I97" s="514">
        <v>18668.241000000002</v>
      </c>
      <c r="J97" s="226" t="str">
        <f>FHD_NOTE_P_58</f>
        <v/>
      </c>
      <c r="K97" s="480"/>
      <c r="AF97" s="1550">
        <v>0</v>
      </c>
    </row>
    <row r="98" spans="1:32" ht="30.75" customHeight="1">
      <c r="A98" s="2570"/>
      <c r="D98" s="1557"/>
      <c r="E98" s="483" t="str">
        <f>FHD_NUM_P_59</f>
        <v>8</v>
      </c>
      <c r="F98" s="1796" t="str">
        <f>FHD_P_59</f>
        <v>Объём сточных вод, принятых от других регулируемых организаций, осуществляющих водоотведение и (или) очистку сточных вод</v>
      </c>
      <c r="G98" s="1797" t="s">
        <v>582</v>
      </c>
      <c r="H98" s="903"/>
      <c r="I98" s="514">
        <v>757.16099999999994</v>
      </c>
      <c r="J98" s="226" t="str">
        <f>FHD_NOTE_P_59</f>
        <v/>
      </c>
      <c r="K98" s="480"/>
      <c r="AF98" s="1550">
        <v>0</v>
      </c>
    </row>
    <row r="99" spans="1:32" ht="18.75" customHeight="1">
      <c r="A99" s="2570"/>
      <c r="D99" s="1557"/>
      <c r="E99" s="483" t="str">
        <f>FHD_NUM_P_60</f>
        <v>9</v>
      </c>
      <c r="F99" s="1796" t="str">
        <f>FHD_P_60</f>
        <v>Объём сточных вод, пропущенных через очистные сооружения</v>
      </c>
      <c r="G99" s="1797" t="s">
        <v>582</v>
      </c>
      <c r="H99" s="903"/>
      <c r="I99" s="514">
        <v>24048</v>
      </c>
      <c r="J99" s="226" t="str">
        <f>FHD_NOTE_P_60</f>
        <v/>
      </c>
      <c r="K99" s="480"/>
      <c r="AF99" s="1550">
        <v>0</v>
      </c>
    </row>
    <row r="100" spans="1:32" s="2244" customFormat="1" ht="18.75" hidden="1" customHeight="1">
      <c r="A100" s="2570" t="s">
        <v>586</v>
      </c>
      <c r="C100" s="1555"/>
      <c r="D100" s="1557"/>
      <c r="E100" s="483" t="str">
        <f>FHD_NUM_P_61</f>
        <v/>
      </c>
      <c r="F100" s="1796" t="str">
        <f>FHD_P_61</f>
        <v/>
      </c>
      <c r="G100" s="1794" t="s">
        <v>554</v>
      </c>
      <c r="H100" s="905"/>
      <c r="I100" s="679"/>
      <c r="J100" s="226" t="str">
        <f>FHD_NOTE_P_61</f>
        <v/>
      </c>
      <c r="K100" s="480"/>
      <c r="L100" s="1555"/>
      <c r="M100" s="1555"/>
      <c r="R100" s="1555"/>
      <c r="U100" s="481"/>
      <c r="AA100" s="1551"/>
      <c r="AB100" s="1551"/>
      <c r="AC100" s="1551"/>
      <c r="AD100" s="1551"/>
      <c r="AE100" s="1551"/>
      <c r="AF100" s="1079">
        <v>0</v>
      </c>
    </row>
    <row r="101" spans="1:32" s="2245" customFormat="1" ht="0.75" hidden="1" customHeight="1">
      <c r="A101" s="2570"/>
      <c r="D101" s="485"/>
      <c r="E101" s="937" t="str">
        <f>E100&amp;".0"</f>
        <v>.0</v>
      </c>
      <c r="F101" s="919"/>
      <c r="G101" s="920"/>
      <c r="H101" s="917"/>
      <c r="I101" s="917"/>
      <c r="J101" s="921"/>
      <c r="AF101" s="1555">
        <v>0</v>
      </c>
    </row>
    <row r="102" spans="1:32" ht="15" hidden="1" customHeight="1">
      <c r="A102" s="2570"/>
      <c r="D102" s="1552"/>
      <c r="E102" s="897"/>
      <c r="F102" s="898" t="s">
        <v>587</v>
      </c>
      <c r="G102" s="509"/>
      <c r="H102" s="510"/>
      <c r="I102" s="510"/>
      <c r="J102" s="928" t="s">
        <v>588</v>
      </c>
      <c r="K102" s="480"/>
      <c r="AF102" s="1550">
        <v>0</v>
      </c>
    </row>
    <row r="103" spans="1:32" s="2244" customFormat="1" ht="18.75" hidden="1" customHeight="1">
      <c r="A103" s="2570"/>
      <c r="C103" s="1555"/>
      <c r="D103" s="1557"/>
      <c r="E103" s="483" t="str">
        <f>FHD_NUM_P_62</f>
        <v/>
      </c>
      <c r="F103" s="1796" t="str">
        <f>FHD_P_62</f>
        <v/>
      </c>
      <c r="G103" s="1793" t="s">
        <v>554</v>
      </c>
      <c r="H103" s="494"/>
      <c r="I103" s="494"/>
      <c r="J103" s="226" t="str">
        <f>FHD_NOTE_P_62</f>
        <v/>
      </c>
      <c r="K103" s="480"/>
      <c r="L103" s="1555"/>
      <c r="M103" s="1555"/>
      <c r="R103" s="1555"/>
      <c r="U103" s="481"/>
      <c r="AA103" s="1551"/>
      <c r="AB103" s="1551"/>
      <c r="AC103" s="1551"/>
      <c r="AD103" s="1551"/>
      <c r="AE103" s="1551"/>
      <c r="AF103" s="1079">
        <v>0</v>
      </c>
    </row>
    <row r="104" spans="1:32" s="2244" customFormat="1" ht="18.75" hidden="1" customHeight="1">
      <c r="A104" s="2570"/>
      <c r="C104" s="1555"/>
      <c r="D104" s="1557"/>
      <c r="E104" s="483" t="str">
        <f>FHD_NUM_P_63</f>
        <v/>
      </c>
      <c r="F104" s="1796" t="str">
        <f>FHD_P_63</f>
        <v/>
      </c>
      <c r="G104" s="1793" t="s">
        <v>584</v>
      </c>
      <c r="H104" s="514"/>
      <c r="I104" s="514"/>
      <c r="J104" s="226" t="str">
        <f>FHD_NOTE_P_63</f>
        <v/>
      </c>
      <c r="K104" s="480"/>
      <c r="L104" s="1555"/>
      <c r="M104" s="1555"/>
      <c r="R104" s="1555"/>
      <c r="U104" s="481"/>
      <c r="AA104" s="1551"/>
      <c r="AB104" s="1551"/>
      <c r="AC104" s="1551"/>
      <c r="AD104" s="1551"/>
      <c r="AE104" s="1551"/>
      <c r="AF104" s="1079">
        <v>0</v>
      </c>
    </row>
    <row r="105" spans="1:32" s="2244" customFormat="1" ht="18.75" hidden="1" customHeight="1">
      <c r="A105" s="2570"/>
      <c r="C105" s="1555" t="s">
        <v>589</v>
      </c>
      <c r="D105" s="1557"/>
      <c r="E105" s="483" t="str">
        <f>FHD_NUM_P_64</f>
        <v/>
      </c>
      <c r="F105" s="1796" t="str">
        <f>FHD_P_64</f>
        <v/>
      </c>
      <c r="G105" s="1793" t="s">
        <v>584</v>
      </c>
      <c r="H105" s="482"/>
      <c r="I105" s="482"/>
      <c r="J105" s="226" t="str">
        <f>FHD_NOTE_P_64</f>
        <v/>
      </c>
      <c r="K105" s="480"/>
      <c r="L105" s="1555"/>
      <c r="M105" s="1555"/>
      <c r="R105" s="1555"/>
      <c r="U105" s="481"/>
      <c r="AA105" s="1551"/>
      <c r="AB105" s="1551"/>
      <c r="AC105" s="1551"/>
      <c r="AD105" s="1551"/>
      <c r="AE105" s="1551"/>
      <c r="AF105" s="1079">
        <v>0</v>
      </c>
    </row>
    <row r="106" spans="1:32" s="2244" customFormat="1" ht="18.75" hidden="1" customHeight="1">
      <c r="A106" s="2570"/>
      <c r="C106" s="1555"/>
      <c r="D106" s="1557"/>
      <c r="E106" s="483" t="str">
        <f>FHD_NUM_P_65</f>
        <v/>
      </c>
      <c r="F106" s="1796" t="str">
        <f>FHD_P_65</f>
        <v/>
      </c>
      <c r="G106" s="1793" t="s">
        <v>584</v>
      </c>
      <c r="H106" s="514"/>
      <c r="I106" s="514"/>
      <c r="J106" s="226" t="str">
        <f>FHD_NOTE_P_65</f>
        <v/>
      </c>
      <c r="K106" s="480"/>
      <c r="L106" s="1555"/>
      <c r="M106" s="1555"/>
      <c r="R106" s="1555"/>
      <c r="U106" s="481"/>
      <c r="AA106" s="1551"/>
      <c r="AB106" s="1551"/>
      <c r="AC106" s="1551"/>
      <c r="AD106" s="1551"/>
      <c r="AE106" s="1551"/>
      <c r="AF106" s="1079">
        <v>0</v>
      </c>
    </row>
    <row r="107" spans="1:32" s="2244" customFormat="1" ht="18.75" hidden="1" customHeight="1">
      <c r="A107" s="2570"/>
      <c r="C107" s="1555"/>
      <c r="D107" s="1557"/>
      <c r="E107" s="483" t="str">
        <f>FHD_NUM_P_66</f>
        <v/>
      </c>
      <c r="F107" s="1443" t="str">
        <f>FHD_P_66</f>
        <v/>
      </c>
      <c r="G107" s="1793" t="s">
        <v>584</v>
      </c>
      <c r="H107" s="514"/>
      <c r="I107" s="514"/>
      <c r="J107" s="226" t="str">
        <f>FHD_NOTE_P_66</f>
        <v/>
      </c>
      <c r="K107" s="480"/>
      <c r="L107" s="1555"/>
      <c r="M107" s="1555"/>
      <c r="R107" s="1555"/>
      <c r="U107" s="481"/>
      <c r="AA107" s="1551"/>
      <c r="AB107" s="1551"/>
      <c r="AC107" s="1551"/>
      <c r="AD107" s="1551"/>
      <c r="AE107" s="1551"/>
      <c r="AF107" s="1079">
        <v>0</v>
      </c>
    </row>
    <row r="108" spans="1:32" s="2244" customFormat="1" ht="18.75" hidden="1" customHeight="1">
      <c r="A108" s="2570"/>
      <c r="C108" s="1555"/>
      <c r="D108" s="1557"/>
      <c r="E108" s="483" t="str">
        <f>FHD_NUM_P_67</f>
        <v/>
      </c>
      <c r="F108" s="1569" t="str">
        <f>FHD_P_67</f>
        <v/>
      </c>
      <c r="G108" s="1793" t="s">
        <v>584</v>
      </c>
      <c r="H108" s="514"/>
      <c r="I108" s="514"/>
      <c r="J108" s="226" t="str">
        <f>FHD_NOTE_P_67</f>
        <v/>
      </c>
      <c r="K108" s="480"/>
      <c r="L108" s="1555"/>
      <c r="M108" s="1555"/>
      <c r="R108" s="1555"/>
      <c r="U108" s="481"/>
      <c r="AA108" s="1551"/>
      <c r="AB108" s="1551"/>
      <c r="AC108" s="1551"/>
      <c r="AD108" s="1551"/>
      <c r="AE108" s="1551"/>
      <c r="AF108" s="1079">
        <v>0</v>
      </c>
    </row>
    <row r="109" spans="1:32" s="2244" customFormat="1" ht="18.75" hidden="1" customHeight="1">
      <c r="A109" s="2570"/>
      <c r="C109" s="1555"/>
      <c r="D109" s="1557"/>
      <c r="E109" s="483" t="str">
        <f>FHD_NUM_P_68</f>
        <v/>
      </c>
      <c r="F109" s="1443" t="str">
        <f>FHD_P_68</f>
        <v/>
      </c>
      <c r="G109" s="1793" t="s">
        <v>584</v>
      </c>
      <c r="H109" s="514"/>
      <c r="I109" s="514"/>
      <c r="J109" s="226" t="str">
        <f>FHD_NOTE_P_68</f>
        <v/>
      </c>
      <c r="K109" s="480"/>
      <c r="L109" s="1555"/>
      <c r="M109" s="1555"/>
      <c r="R109" s="1555"/>
      <c r="U109" s="481"/>
      <c r="AA109" s="1551"/>
      <c r="AB109" s="1551"/>
      <c r="AC109" s="1551"/>
      <c r="AD109" s="1551"/>
      <c r="AE109" s="1551"/>
      <c r="AF109" s="1079">
        <v>0</v>
      </c>
    </row>
    <row r="110" spans="1:32" s="2244" customFormat="1" ht="18.75" hidden="1" customHeight="1">
      <c r="A110" s="2570"/>
      <c r="C110" s="1555"/>
      <c r="D110" s="1557"/>
      <c r="E110" s="483" t="str">
        <f>FHD_NUM_P_69</f>
        <v/>
      </c>
      <c r="F110" s="1443" t="str">
        <f>FHD_P_69</f>
        <v/>
      </c>
      <c r="G110" s="1793" t="s">
        <v>584</v>
      </c>
      <c r="H110" s="514"/>
      <c r="I110" s="514"/>
      <c r="J110" s="226" t="str">
        <f>FHD_NOTE_P_69</f>
        <v/>
      </c>
      <c r="K110" s="480"/>
      <c r="L110" s="1555"/>
      <c r="M110" s="1555"/>
      <c r="R110" s="1555"/>
      <c r="U110" s="481"/>
      <c r="AA110" s="1551"/>
      <c r="AB110" s="1551"/>
      <c r="AC110" s="1551"/>
      <c r="AD110" s="1551"/>
      <c r="AE110" s="1551"/>
      <c r="AF110" s="1079">
        <v>0</v>
      </c>
    </row>
    <row r="111" spans="1:32" s="2244" customFormat="1" ht="22.5" hidden="1" customHeight="1">
      <c r="A111" s="2570"/>
      <c r="C111" s="1555"/>
      <c r="D111" s="1557"/>
      <c r="E111" s="483" t="str">
        <f>FHD_NUM_P_70</f>
        <v/>
      </c>
      <c r="F111" s="1796" t="str">
        <f>FHD_P_70</f>
        <v/>
      </c>
      <c r="G111" s="1793" t="s">
        <v>590</v>
      </c>
      <c r="H111" s="494"/>
      <c r="I111" s="494"/>
      <c r="J111" s="226" t="str">
        <f>FHD_NOTE_P_70</f>
        <v/>
      </c>
      <c r="K111" s="480"/>
      <c r="L111" s="1555"/>
      <c r="M111" s="1555"/>
      <c r="R111" s="1555"/>
      <c r="U111" s="481"/>
      <c r="AA111" s="1551"/>
      <c r="AB111" s="1551"/>
      <c r="AC111" s="1551"/>
      <c r="AD111" s="1551"/>
      <c r="AE111" s="1551"/>
      <c r="AF111" s="1079">
        <v>0</v>
      </c>
    </row>
    <row r="112" spans="1:32" s="2244" customFormat="1" ht="22.5" hidden="1" customHeight="1">
      <c r="A112" s="2570"/>
      <c r="C112" s="1555"/>
      <c r="D112" s="1557"/>
      <c r="E112" s="483" t="str">
        <f>FHD_NUM_P_71</f>
        <v/>
      </c>
      <c r="F112" s="1796" t="str">
        <f>FHD_P_71</f>
        <v/>
      </c>
      <c r="G112" s="1793" t="s">
        <v>590</v>
      </c>
      <c r="H112" s="494"/>
      <c r="I112" s="494"/>
      <c r="J112" s="226" t="str">
        <f>FHD_NOTE_P_71</f>
        <v/>
      </c>
      <c r="K112" s="480"/>
      <c r="L112" s="1555"/>
      <c r="M112" s="1555"/>
      <c r="R112" s="1555"/>
      <c r="U112" s="481"/>
      <c r="AA112" s="1551"/>
      <c r="AB112" s="1551"/>
      <c r="AC112" s="1551"/>
      <c r="AD112" s="1551"/>
      <c r="AE112" s="1551"/>
      <c r="AF112" s="1079">
        <v>0</v>
      </c>
    </row>
    <row r="113" spans="1:32" ht="20.25" customHeight="1">
      <c r="D113" s="1557"/>
      <c r="E113" s="483" t="str">
        <f>FHD_NUM_P_72</f>
        <v>10</v>
      </c>
      <c r="F113" s="1796" t="str">
        <f>FHD_P_72</f>
        <v>Среднесписочная численность основного производственного персонала</v>
      </c>
      <c r="G113" s="1792" t="s">
        <v>591</v>
      </c>
      <c r="H113" s="514"/>
      <c r="I113" s="514">
        <v>179.9</v>
      </c>
      <c r="J113" s="226" t="str">
        <f>FHD_NOTE_P_72</f>
        <v/>
      </c>
      <c r="K113" s="480"/>
      <c r="AF113" s="1550">
        <v>19</v>
      </c>
    </row>
    <row r="114" spans="1:32" ht="18.75" hidden="1" customHeight="1">
      <c r="A114" s="914" t="s">
        <v>592</v>
      </c>
      <c r="D114" s="1557"/>
      <c r="E114" s="483" t="str">
        <f>FHD_NUM_P_73</f>
        <v/>
      </c>
      <c r="F114" s="1796" t="str">
        <f>FHD_P_73</f>
        <v/>
      </c>
      <c r="G114" s="896" t="s">
        <v>591</v>
      </c>
      <c r="H114" s="894"/>
      <c r="I114" s="894"/>
      <c r="J114" s="226" t="str">
        <f>FHD_NOTE_P_73</f>
        <v/>
      </c>
      <c r="K114" s="480"/>
      <c r="AF114" s="1550">
        <v>0</v>
      </c>
    </row>
    <row r="115" spans="1:32" ht="33.75" hidden="1" customHeight="1">
      <c r="A115" s="914" t="s">
        <v>593</v>
      </c>
      <c r="D115" s="1557"/>
      <c r="E115" s="483" t="str">
        <f>FHD_NUM_P_74</f>
        <v/>
      </c>
      <c r="F115" s="1796" t="str">
        <f>FHD_P_74</f>
        <v/>
      </c>
      <c r="G115" s="1792" t="s">
        <v>594</v>
      </c>
      <c r="H115" s="514"/>
      <c r="I115" s="514"/>
      <c r="J115" s="226" t="str">
        <f>FHD_NOTE_P_74</f>
        <v/>
      </c>
      <c r="K115" s="480"/>
      <c r="AF115" s="1550">
        <v>0</v>
      </c>
    </row>
    <row r="116" spans="1:32" s="2238" customFormat="1" ht="18.75" hidden="1" customHeight="1">
      <c r="A116" s="2570" t="s">
        <v>595</v>
      </c>
      <c r="B116" s="836"/>
      <c r="C116" s="672"/>
      <c r="D116" s="670"/>
      <c r="E116" s="483" t="str">
        <f>FHD_NUM_P_75</f>
        <v/>
      </c>
      <c r="F116" s="1796" t="str">
        <f>FHD_P_75</f>
        <v/>
      </c>
      <c r="G116" s="1792" t="s">
        <v>556</v>
      </c>
      <c r="H116" s="494"/>
      <c r="I116" s="494"/>
      <c r="J116" s="226" t="str">
        <f>FHD_NOTE_P_75</f>
        <v/>
      </c>
      <c r="K116" s="671"/>
      <c r="L116" s="672"/>
      <c r="M116" s="672"/>
      <c r="N116" s="836"/>
      <c r="O116" s="836"/>
      <c r="P116" s="836"/>
      <c r="Q116" s="836"/>
      <c r="R116" s="672"/>
      <c r="S116" s="836"/>
      <c r="T116" s="836"/>
      <c r="U116" s="673"/>
      <c r="V116" s="836"/>
      <c r="W116" s="836"/>
      <c r="X116" s="836"/>
      <c r="Y116" s="836"/>
      <c r="Z116" s="836"/>
      <c r="AA116" s="674"/>
      <c r="AB116" s="674"/>
      <c r="AC116" s="674"/>
      <c r="AD116" s="674"/>
      <c r="AE116" s="674"/>
      <c r="AF116" s="676">
        <v>0</v>
      </c>
    </row>
    <row r="117" spans="1:32" s="2238" customFormat="1" ht="18.75" hidden="1" customHeight="1">
      <c r="A117" s="2570"/>
      <c r="B117" s="836"/>
      <c r="C117" s="672"/>
      <c r="D117" s="670"/>
      <c r="E117" s="483" t="str">
        <f>FHD_NUM_P_76</f>
        <v/>
      </c>
      <c r="F117" s="1796" t="str">
        <f>FHD_P_76</f>
        <v/>
      </c>
      <c r="G117" s="1792" t="s">
        <v>556</v>
      </c>
      <c r="H117" s="494"/>
      <c r="I117" s="494"/>
      <c r="J117" s="226" t="str">
        <f>FHD_NOTE_P_76</f>
        <v/>
      </c>
      <c r="K117" s="671"/>
      <c r="L117" s="672"/>
      <c r="M117" s="672"/>
      <c r="N117" s="836"/>
      <c r="O117" s="836"/>
      <c r="P117" s="836"/>
      <c r="Q117" s="836"/>
      <c r="R117" s="672"/>
      <c r="S117" s="836"/>
      <c r="T117" s="836"/>
      <c r="U117" s="673"/>
      <c r="V117" s="836"/>
      <c r="W117" s="836"/>
      <c r="X117" s="836"/>
      <c r="Y117" s="836"/>
      <c r="Z117" s="836"/>
      <c r="AA117" s="674"/>
      <c r="AB117" s="674"/>
      <c r="AC117" s="674"/>
      <c r="AD117" s="674"/>
      <c r="AE117" s="674"/>
      <c r="AF117" s="676">
        <v>0</v>
      </c>
    </row>
    <row r="118" spans="1:32" s="2238" customFormat="1" ht="18.75" hidden="1" customHeight="1">
      <c r="A118" s="2570"/>
      <c r="B118" s="836"/>
      <c r="C118" s="672"/>
      <c r="D118" s="670"/>
      <c r="E118" s="483" t="str">
        <f>FHD_NUM_P_77</f>
        <v/>
      </c>
      <c r="F118" s="1796" t="str">
        <f>FHD_P_77</f>
        <v/>
      </c>
      <c r="G118" s="1792" t="s">
        <v>556</v>
      </c>
      <c r="H118" s="494"/>
      <c r="I118" s="494"/>
      <c r="J118" s="226" t="str">
        <f>FHD_NOTE_P_77</f>
        <v/>
      </c>
      <c r="K118" s="671"/>
      <c r="L118" s="672"/>
      <c r="M118" s="672"/>
      <c r="N118" s="836"/>
      <c r="O118" s="836"/>
      <c r="P118" s="836"/>
      <c r="Q118" s="836"/>
      <c r="R118" s="672"/>
      <c r="S118" s="836"/>
      <c r="T118" s="836"/>
      <c r="U118" s="673"/>
      <c r="V118" s="836"/>
      <c r="W118" s="836"/>
      <c r="X118" s="836"/>
      <c r="Y118" s="836"/>
      <c r="Z118" s="836"/>
      <c r="AA118" s="674"/>
      <c r="AB118" s="674"/>
      <c r="AC118" s="674"/>
      <c r="AD118" s="674"/>
      <c r="AE118" s="674"/>
      <c r="AF118" s="676">
        <v>0</v>
      </c>
    </row>
    <row r="119" spans="1:32" s="2245" customFormat="1" ht="0.75" hidden="1" customHeight="1">
      <c r="A119" s="2570"/>
      <c r="D119" s="485"/>
      <c r="E119" s="937" t="str">
        <f>E118&amp;".0"</f>
        <v>.0</v>
      </c>
      <c r="F119" s="922"/>
      <c r="G119" s="1570"/>
      <c r="H119" s="917"/>
      <c r="I119" s="917"/>
      <c r="J119" s="921"/>
      <c r="AF119" s="1555">
        <v>0</v>
      </c>
    </row>
    <row r="120" spans="1:32" s="2238" customFormat="1" ht="15" hidden="1" customHeight="1">
      <c r="A120" s="2570"/>
      <c r="B120" s="836"/>
      <c r="C120" s="672"/>
      <c r="D120" s="683"/>
      <c r="E120" s="899"/>
      <c r="F120" s="900" t="s">
        <v>596</v>
      </c>
      <c r="G120" s="684"/>
      <c r="H120" s="685"/>
      <c r="I120" s="685"/>
      <c r="J120" s="927" t="s">
        <v>597</v>
      </c>
      <c r="K120" s="671"/>
      <c r="L120" s="672"/>
      <c r="M120" s="672"/>
      <c r="N120" s="836"/>
      <c r="O120" s="836"/>
      <c r="P120" s="836"/>
      <c r="Q120" s="836"/>
      <c r="R120" s="672"/>
      <c r="S120" s="836"/>
      <c r="T120" s="836"/>
      <c r="U120" s="673"/>
      <c r="V120" s="836"/>
      <c r="W120" s="836"/>
      <c r="X120" s="836"/>
      <c r="Y120" s="836"/>
      <c r="Z120" s="836"/>
      <c r="AA120" s="674"/>
      <c r="AB120" s="674"/>
      <c r="AC120" s="674"/>
      <c r="AD120" s="674"/>
      <c r="AE120" s="674"/>
      <c r="AF120" s="676">
        <v>0</v>
      </c>
    </row>
    <row r="121" spans="1:32" ht="22.5" hidden="1" customHeight="1">
      <c r="A121" s="2570" t="s">
        <v>598</v>
      </c>
      <c r="D121" s="1557"/>
      <c r="E121" s="483" t="str">
        <f>FHD_NUM_P_78</f>
        <v/>
      </c>
      <c r="F121" s="1796" t="str">
        <f>FHD_P_78</f>
        <v/>
      </c>
      <c r="G121" s="1793" t="s">
        <v>558</v>
      </c>
      <c r="H121" s="514"/>
      <c r="I121" s="514"/>
      <c r="J121" s="226" t="str">
        <f>FHD_NOTE_P_78</f>
        <v/>
      </c>
      <c r="K121" s="480"/>
      <c r="AF121" s="1550">
        <v>0</v>
      </c>
    </row>
    <row r="122" spans="1:32" s="2245" customFormat="1" ht="0.75" hidden="1" customHeight="1">
      <c r="A122" s="2570"/>
      <c r="D122" s="485"/>
      <c r="E122" s="937" t="str">
        <f>E121&amp;".0"</f>
        <v>.0</v>
      </c>
      <c r="F122" s="922"/>
      <c r="G122" s="1570"/>
      <c r="H122" s="917"/>
      <c r="I122" s="917"/>
      <c r="J122" s="921"/>
      <c r="AF122" s="1555">
        <v>0</v>
      </c>
    </row>
    <row r="123" spans="1:32" ht="15" hidden="1" customHeight="1">
      <c r="A123" s="2570"/>
      <c r="D123" s="1552"/>
      <c r="E123" s="507"/>
      <c r="F123" s="1087" t="s">
        <v>587</v>
      </c>
      <c r="G123" s="509"/>
      <c r="H123" s="510"/>
      <c r="I123" s="510"/>
      <c r="J123" s="928" t="s">
        <v>599</v>
      </c>
      <c r="K123" s="480"/>
      <c r="AF123" s="1550">
        <v>0</v>
      </c>
    </row>
    <row r="124" spans="1:32" ht="22.5" hidden="1" customHeight="1">
      <c r="A124" s="2570"/>
      <c r="D124" s="1557"/>
      <c r="E124" s="483" t="str">
        <f>FHD_NUM_P_79</f>
        <v/>
      </c>
      <c r="F124" s="1796" t="str">
        <f>FHD_P_79</f>
        <v/>
      </c>
      <c r="G124" s="1794" t="s">
        <v>560</v>
      </c>
      <c r="H124" s="514"/>
      <c r="I124" s="514"/>
      <c r="J124" s="226" t="str">
        <f>FHD_NOTE_P_79</f>
        <v/>
      </c>
      <c r="K124" s="480"/>
      <c r="AF124" s="1550">
        <v>0</v>
      </c>
    </row>
    <row r="125" spans="1:32" s="2245" customFormat="1" ht="0.75" hidden="1" customHeight="1">
      <c r="A125" s="2570"/>
      <c r="D125" s="485"/>
      <c r="E125" s="937" t="str">
        <f>E124&amp;".0"</f>
        <v>.0</v>
      </c>
      <c r="F125" s="923"/>
      <c r="G125" s="1570"/>
      <c r="H125" s="917"/>
      <c r="I125" s="917"/>
      <c r="J125" s="921"/>
      <c r="AF125" s="1555">
        <v>0</v>
      </c>
    </row>
    <row r="126" spans="1:32" ht="15" hidden="1" customHeight="1">
      <c r="A126" s="2570"/>
      <c r="D126" s="1552"/>
      <c r="E126" s="507"/>
      <c r="F126" s="1087" t="s">
        <v>587</v>
      </c>
      <c r="G126" s="509"/>
      <c r="H126" s="510"/>
      <c r="I126" s="510"/>
      <c r="J126" s="928" t="s">
        <v>600</v>
      </c>
      <c r="K126" s="480"/>
      <c r="AF126" s="1550">
        <v>0</v>
      </c>
    </row>
    <row r="127" spans="1:32" ht="22.5" hidden="1" customHeight="1">
      <c r="A127" s="2570"/>
      <c r="D127" s="1557"/>
      <c r="E127" s="483" t="str">
        <f>FHD_NUM_P_80</f>
        <v/>
      </c>
      <c r="F127" s="1796" t="str">
        <f>FHD_P_80</f>
        <v/>
      </c>
      <c r="G127" s="1794" t="s">
        <v>601</v>
      </c>
      <c r="H127" s="494"/>
      <c r="I127" s="494"/>
      <c r="J127" s="226" t="str">
        <f>FHD_NOTE_P_80</f>
        <v/>
      </c>
      <c r="K127" s="480"/>
      <c r="AF127" s="1550">
        <v>0</v>
      </c>
    </row>
    <row r="128" spans="1:32" ht="18.75" hidden="1" customHeight="1">
      <c r="A128" s="2570"/>
      <c r="D128" s="1557"/>
      <c r="E128" s="483" t="str">
        <f>FHD_NUM_P_81</f>
        <v/>
      </c>
      <c r="F128" s="1796" t="str">
        <f>FHD_P_81</f>
        <v/>
      </c>
      <c r="G128" s="1794" t="s">
        <v>602</v>
      </c>
      <c r="H128" s="494"/>
      <c r="I128" s="494"/>
      <c r="J128" s="226" t="str">
        <f>FHD_NOTE_P_81</f>
        <v/>
      </c>
      <c r="K128" s="480"/>
      <c r="AF128" s="1550">
        <v>0</v>
      </c>
    </row>
    <row r="129" spans="1:32" ht="18.75" hidden="1" customHeight="1">
      <c r="A129" s="2570"/>
      <c r="C129" s="1555" t="s">
        <v>589</v>
      </c>
      <c r="D129" s="1557"/>
      <c r="E129" s="483" t="str">
        <f>FHD_NUM_P_82</f>
        <v/>
      </c>
      <c r="F129" s="1796" t="str">
        <f>FHD_P_82</f>
        <v/>
      </c>
      <c r="G129" s="1794" t="s">
        <v>304</v>
      </c>
      <c r="H129" s="338"/>
      <c r="I129" s="338"/>
      <c r="J129" s="226" t="str">
        <f>FHD_NOTE_P_82</f>
        <v/>
      </c>
      <c r="K129" s="480"/>
      <c r="AF129" s="1550">
        <v>0</v>
      </c>
    </row>
    <row r="130" spans="1:32" ht="18.75" hidden="1" customHeight="1">
      <c r="A130" s="2570"/>
      <c r="C130" s="1555" t="s">
        <v>589</v>
      </c>
      <c r="D130" s="1557"/>
      <c r="E130" s="483" t="str">
        <f>FHD_NUM_P_83</f>
        <v/>
      </c>
      <c r="F130" s="1443" t="str">
        <f>FHD_P_83</f>
        <v/>
      </c>
      <c r="G130" s="1794" t="s">
        <v>304</v>
      </c>
      <c r="H130" s="338"/>
      <c r="I130" s="338"/>
      <c r="J130" s="226" t="str">
        <f>FHD_NOTE_P_83</f>
        <v/>
      </c>
      <c r="K130" s="480"/>
      <c r="AF130" s="1550">
        <v>0</v>
      </c>
    </row>
    <row r="131" spans="1:32" ht="18.75" hidden="1" customHeight="1">
      <c r="A131" s="2570"/>
      <c r="C131" s="1555" t="s">
        <v>589</v>
      </c>
      <c r="D131" s="1557"/>
      <c r="E131" s="483" t="str">
        <f>FHD_NUM_P_84</f>
        <v/>
      </c>
      <c r="F131" s="1443" t="str">
        <f>FHD_P_84</f>
        <v/>
      </c>
      <c r="G131" s="1794" t="s">
        <v>304</v>
      </c>
      <c r="H131" s="338"/>
      <c r="I131" s="338"/>
      <c r="J131" s="226" t="str">
        <f>FHD_NOTE_P_84</f>
        <v/>
      </c>
      <c r="K131" s="480"/>
      <c r="AF131" s="1550">
        <v>0</v>
      </c>
    </row>
    <row r="132" spans="1:32" ht="11.45" customHeight="1">
      <c r="D132" s="1557"/>
      <c r="AF132" s="1550">
        <v>11</v>
      </c>
    </row>
    <row r="133" spans="1:32" ht="13.5" customHeight="1">
      <c r="D133" s="1557"/>
      <c r="E133" s="273"/>
      <c r="F133" s="306"/>
      <c r="G133" s="306"/>
      <c r="H133" s="306"/>
      <c r="I133" s="1566"/>
      <c r="J133" s="518"/>
      <c r="AF133" s="1550">
        <v>13</v>
      </c>
    </row>
    <row r="134" spans="1:32" s="2269" customFormat="1" ht="11.45" customHeight="1">
      <c r="A134" s="912"/>
      <c r="B134" s="1555"/>
      <c r="C134" s="1555"/>
      <c r="D134" s="288"/>
      <c r="F134" s="1559"/>
      <c r="G134" s="1550"/>
      <c r="H134" s="1550"/>
      <c r="I134" s="1550"/>
      <c r="K134" s="1079"/>
      <c r="L134" s="1555"/>
      <c r="M134" s="1555"/>
      <c r="N134" s="1079"/>
      <c r="O134" s="1079"/>
      <c r="P134" s="1079"/>
      <c r="Q134" s="1079"/>
      <c r="R134" s="1555"/>
      <c r="S134" s="1079"/>
      <c r="T134" s="1079"/>
      <c r="U134" s="481"/>
      <c r="V134" s="1079"/>
      <c r="W134" s="1079"/>
      <c r="X134" s="1079"/>
      <c r="Y134" s="1079"/>
      <c r="Z134" s="1079"/>
      <c r="AA134" s="1551"/>
      <c r="AB134" s="503"/>
      <c r="AC134" s="503"/>
      <c r="AD134" s="503"/>
      <c r="AE134" s="503"/>
      <c r="AF134" s="1560">
        <v>11</v>
      </c>
    </row>
    <row r="135" spans="1:32" s="2269" customFormat="1" ht="11.45" customHeight="1">
      <c r="A135" s="912"/>
      <c r="B135" s="1555"/>
      <c r="C135" s="1555"/>
      <c r="D135" s="288"/>
      <c r="K135" s="1079"/>
      <c r="L135" s="1555"/>
      <c r="M135" s="1555"/>
      <c r="N135" s="1079"/>
      <c r="O135" s="1079"/>
      <c r="P135" s="1079"/>
      <c r="Q135" s="1079"/>
      <c r="R135" s="1555"/>
      <c r="S135" s="1079"/>
      <c r="T135" s="1079"/>
      <c r="U135" s="481"/>
      <c r="V135" s="1079"/>
      <c r="W135" s="1079"/>
      <c r="X135" s="1079"/>
      <c r="Y135" s="1079"/>
      <c r="Z135" s="1079"/>
      <c r="AA135" s="1551"/>
      <c r="AB135" s="503"/>
      <c r="AC135" s="503"/>
      <c r="AD135" s="503"/>
      <c r="AE135" s="503"/>
      <c r="AF135" s="1560">
        <v>11</v>
      </c>
    </row>
    <row r="136" spans="1:32" s="2269" customFormat="1" ht="11.45" customHeight="1">
      <c r="A136" s="912"/>
      <c r="B136" s="1555"/>
      <c r="C136" s="1555"/>
      <c r="D136" s="288"/>
      <c r="K136" s="1079"/>
      <c r="L136" s="1555"/>
      <c r="M136" s="1555"/>
      <c r="N136" s="1079"/>
      <c r="O136" s="1079"/>
      <c r="P136" s="1079"/>
      <c r="Q136" s="1079"/>
      <c r="R136" s="1555"/>
      <c r="S136" s="1079"/>
      <c r="T136" s="1079"/>
      <c r="U136" s="481"/>
      <c r="V136" s="1079"/>
      <c r="W136" s="1079"/>
      <c r="X136" s="1079"/>
      <c r="Y136" s="1079"/>
      <c r="Z136" s="1079"/>
      <c r="AA136" s="1551"/>
      <c r="AB136" s="503"/>
      <c r="AC136" s="503"/>
      <c r="AD136" s="503"/>
      <c r="AE136" s="503"/>
      <c r="AF136" s="1560">
        <v>11</v>
      </c>
    </row>
    <row r="137" spans="1:32" s="2269" customFormat="1" ht="11.45" customHeight="1">
      <c r="A137" s="912"/>
      <c r="B137" s="1555"/>
      <c r="C137" s="1555"/>
      <c r="D137" s="288"/>
      <c r="H137" s="503" t="str">
        <f>IF(H30-H31&lt;&gt;H73,"WARNING","")</f>
        <v/>
      </c>
      <c r="I137" s="503" t="str">
        <f>IF(I30-I31&lt;&gt;I73,"WARNING","")</f>
        <v>WARNING</v>
      </c>
      <c r="K137" s="1079"/>
      <c r="L137" s="1555"/>
      <c r="M137" s="1555"/>
      <c r="N137" s="1079"/>
      <c r="O137" s="1079"/>
      <c r="P137" s="1079"/>
      <c r="Q137" s="1079"/>
      <c r="R137" s="1555"/>
      <c r="S137" s="1079"/>
      <c r="T137" s="1079"/>
      <c r="U137" s="481"/>
      <c r="V137" s="1079"/>
      <c r="W137" s="1079"/>
      <c r="X137" s="1079"/>
      <c r="Y137" s="1079"/>
      <c r="Z137" s="1079"/>
      <c r="AA137" s="1551"/>
      <c r="AB137" s="503"/>
      <c r="AC137" s="503"/>
      <c r="AD137" s="503"/>
      <c r="AE137" s="503"/>
      <c r="AF137" s="1560">
        <v>11</v>
      </c>
    </row>
    <row r="138" spans="1:32" s="2269" customFormat="1" ht="11.45" customHeight="1">
      <c r="A138" s="912"/>
      <c r="B138" s="1555"/>
      <c r="C138" s="1555"/>
      <c r="D138" s="288"/>
      <c r="K138" s="1079"/>
      <c r="L138" s="1555"/>
      <c r="M138" s="1555"/>
      <c r="N138" s="1079"/>
      <c r="O138" s="1079"/>
      <c r="P138" s="1079"/>
      <c r="Q138" s="1079"/>
      <c r="R138" s="1555"/>
      <c r="S138" s="1079"/>
      <c r="T138" s="1079"/>
      <c r="U138" s="481"/>
      <c r="V138" s="1079"/>
      <c r="W138" s="1079"/>
      <c r="X138" s="1079"/>
      <c r="Y138" s="1079"/>
      <c r="Z138" s="1079"/>
      <c r="AA138" s="1551"/>
      <c r="AB138" s="503"/>
      <c r="AC138" s="503"/>
      <c r="AD138" s="503"/>
      <c r="AE138" s="503"/>
      <c r="AF138" s="1560">
        <v>11</v>
      </c>
    </row>
    <row r="139" spans="1:32" s="2269" customFormat="1" ht="11.45" customHeight="1">
      <c r="A139" s="912"/>
      <c r="B139" s="1555"/>
      <c r="C139" s="1555"/>
      <c r="D139" s="288"/>
      <c r="K139" s="1079"/>
      <c r="L139" s="1555"/>
      <c r="M139" s="1555"/>
      <c r="N139" s="1079"/>
      <c r="O139" s="1079"/>
      <c r="P139" s="1079"/>
      <c r="Q139" s="1079"/>
      <c r="R139" s="1555"/>
      <c r="S139" s="1079"/>
      <c r="T139" s="1079"/>
      <c r="U139" s="481"/>
      <c r="V139" s="1079"/>
      <c r="W139" s="1079"/>
      <c r="X139" s="1079"/>
      <c r="Y139" s="1079"/>
      <c r="Z139" s="1079"/>
      <c r="AA139" s="1551"/>
      <c r="AB139" s="503"/>
      <c r="AC139" s="503"/>
      <c r="AD139" s="503"/>
      <c r="AE139" s="503"/>
      <c r="AF139" s="1560">
        <v>11</v>
      </c>
    </row>
    <row r="140" spans="1:32" s="2269" customFormat="1" ht="11.45" customHeight="1">
      <c r="A140" s="912"/>
      <c r="B140" s="1555"/>
      <c r="C140" s="1555"/>
      <c r="D140" s="288"/>
      <c r="K140" s="1079"/>
      <c r="L140" s="1555"/>
      <c r="M140" s="1555"/>
      <c r="N140" s="1079"/>
      <c r="O140" s="1079"/>
      <c r="P140" s="1079"/>
      <c r="Q140" s="1079"/>
      <c r="R140" s="1555"/>
      <c r="S140" s="1079"/>
      <c r="T140" s="1079"/>
      <c r="U140" s="481"/>
      <c r="V140" s="1079"/>
      <c r="W140" s="1079"/>
      <c r="X140" s="1079"/>
      <c r="Y140" s="1079"/>
      <c r="Z140" s="1079"/>
      <c r="AA140" s="1551"/>
      <c r="AB140" s="503"/>
      <c r="AC140" s="503"/>
      <c r="AD140" s="503"/>
      <c r="AE140" s="503"/>
      <c r="AF140" s="1560">
        <v>11</v>
      </c>
    </row>
    <row r="141" spans="1:32" s="2269" customFormat="1" ht="11.45" customHeight="1">
      <c r="A141" s="912"/>
      <c r="B141" s="1555"/>
      <c r="C141" s="1555"/>
      <c r="D141" s="288"/>
      <c r="K141" s="1079"/>
      <c r="L141" s="1555"/>
      <c r="M141" s="1555"/>
      <c r="N141" s="1079"/>
      <c r="O141" s="1079"/>
      <c r="P141" s="1079"/>
      <c r="Q141" s="1079"/>
      <c r="R141" s="1555"/>
      <c r="S141" s="1079"/>
      <c r="T141" s="1079"/>
      <c r="U141" s="481"/>
      <c r="V141" s="1079"/>
      <c r="W141" s="1079"/>
      <c r="X141" s="1079"/>
      <c r="Y141" s="1079"/>
      <c r="Z141" s="1079"/>
      <c r="AA141" s="1551"/>
      <c r="AB141" s="503"/>
      <c r="AC141" s="503"/>
      <c r="AD141" s="503"/>
      <c r="AE141" s="503"/>
      <c r="AF141" s="1560">
        <v>11</v>
      </c>
    </row>
    <row r="142" spans="1:32" s="2269" customFormat="1" ht="11.45" customHeight="1">
      <c r="A142" s="912"/>
      <c r="B142" s="1555"/>
      <c r="C142" s="1555"/>
      <c r="D142" s="288"/>
      <c r="K142" s="1079"/>
      <c r="L142" s="1555"/>
      <c r="M142" s="1555"/>
      <c r="N142" s="1079"/>
      <c r="O142" s="1079"/>
      <c r="P142" s="1079"/>
      <c r="Q142" s="1079"/>
      <c r="R142" s="1555"/>
      <c r="S142" s="1079"/>
      <c r="T142" s="1079"/>
      <c r="U142" s="481"/>
      <c r="V142" s="1079"/>
      <c r="W142" s="1079"/>
      <c r="X142" s="1079"/>
      <c r="Y142" s="1079"/>
      <c r="Z142" s="1079"/>
      <c r="AA142" s="1551"/>
      <c r="AB142" s="503"/>
      <c r="AC142" s="503"/>
      <c r="AD142" s="503"/>
      <c r="AE142" s="503"/>
      <c r="AF142" s="1560">
        <v>11</v>
      </c>
    </row>
    <row r="143" spans="1:32" s="2269" customFormat="1" ht="11.45" customHeight="1">
      <c r="A143" s="912"/>
      <c r="B143" s="1555"/>
      <c r="C143" s="1555"/>
      <c r="D143" s="288"/>
      <c r="K143" s="1079"/>
      <c r="L143" s="1555"/>
      <c r="M143" s="1555"/>
      <c r="N143" s="1079"/>
      <c r="O143" s="1079"/>
      <c r="P143" s="1079"/>
      <c r="Q143" s="1079"/>
      <c r="R143" s="1555"/>
      <c r="S143" s="1079"/>
      <c r="T143" s="1079"/>
      <c r="U143" s="481"/>
      <c r="V143" s="1079"/>
      <c r="W143" s="1079"/>
      <c r="X143" s="1079"/>
      <c r="Y143" s="1079"/>
      <c r="Z143" s="1079"/>
      <c r="AA143" s="1551"/>
      <c r="AB143" s="503"/>
      <c r="AC143" s="503"/>
      <c r="AD143" s="503"/>
      <c r="AE143" s="503"/>
      <c r="AF143" s="1560">
        <v>11</v>
      </c>
    </row>
    <row r="144" spans="1:32" s="2269" customFormat="1" ht="11.45" customHeight="1">
      <c r="A144" s="912"/>
      <c r="B144" s="1555"/>
      <c r="C144" s="1555"/>
      <c r="D144" s="288"/>
      <c r="K144" s="1079"/>
      <c r="L144" s="1555"/>
      <c r="M144" s="1555"/>
      <c r="N144" s="1079"/>
      <c r="O144" s="1079"/>
      <c r="P144" s="1079"/>
      <c r="Q144" s="1079"/>
      <c r="R144" s="1555"/>
      <c r="S144" s="1079"/>
      <c r="T144" s="1079"/>
      <c r="U144" s="481"/>
      <c r="V144" s="1079"/>
      <c r="W144" s="1079"/>
      <c r="X144" s="1079"/>
      <c r="Y144" s="1079"/>
      <c r="Z144" s="1079"/>
      <c r="AA144" s="1551"/>
      <c r="AB144" s="503"/>
      <c r="AC144" s="503"/>
      <c r="AD144" s="503"/>
      <c r="AE144" s="503"/>
      <c r="AF144" s="1560">
        <v>11</v>
      </c>
    </row>
    <row r="145" spans="1:32" s="2269" customFormat="1" ht="11.45" customHeight="1">
      <c r="A145" s="912"/>
      <c r="B145" s="1555"/>
      <c r="C145" s="1555"/>
      <c r="D145" s="288"/>
      <c r="K145" s="1079"/>
      <c r="L145" s="1555"/>
      <c r="M145" s="1555"/>
      <c r="N145" s="1079"/>
      <c r="O145" s="1079"/>
      <c r="P145" s="1079"/>
      <c r="Q145" s="1079"/>
      <c r="R145" s="1555"/>
      <c r="S145" s="1079"/>
      <c r="T145" s="1079"/>
      <c r="U145" s="481"/>
      <c r="V145" s="1079"/>
      <c r="W145" s="1079"/>
      <c r="X145" s="1079"/>
      <c r="Y145" s="1079"/>
      <c r="Z145" s="1079"/>
      <c r="AA145" s="1551"/>
      <c r="AB145" s="503"/>
      <c r="AC145" s="503"/>
      <c r="AD145" s="503"/>
      <c r="AE145" s="503"/>
      <c r="AF145" s="1560">
        <v>11</v>
      </c>
    </row>
    <row r="146" spans="1:32" s="2269" customFormat="1" ht="11.45" customHeight="1">
      <c r="A146" s="912"/>
      <c r="B146" s="1555"/>
      <c r="C146" s="1555"/>
      <c r="D146" s="288"/>
      <c r="K146" s="1079"/>
      <c r="L146" s="1555"/>
      <c r="M146" s="1555"/>
      <c r="N146" s="1079"/>
      <c r="O146" s="1079"/>
      <c r="P146" s="1079"/>
      <c r="Q146" s="1079"/>
      <c r="R146" s="1555"/>
      <c r="S146" s="1079"/>
      <c r="T146" s="1079"/>
      <c r="U146" s="481"/>
      <c r="V146" s="1079"/>
      <c r="W146" s="1079"/>
      <c r="X146" s="1079"/>
      <c r="Y146" s="1079"/>
      <c r="Z146" s="1079"/>
      <c r="AA146" s="1551"/>
      <c r="AB146" s="503"/>
      <c r="AC146" s="503"/>
      <c r="AD146" s="503"/>
      <c r="AE146" s="503"/>
      <c r="AF146" s="1560">
        <v>11</v>
      </c>
    </row>
    <row r="147" spans="1:32" s="2269" customFormat="1" ht="11.45" customHeight="1">
      <c r="A147" s="912"/>
      <c r="B147" s="1555"/>
      <c r="C147" s="1555"/>
      <c r="D147" s="288"/>
      <c r="K147" s="1079"/>
      <c r="L147" s="1555"/>
      <c r="M147" s="1555"/>
      <c r="N147" s="1079"/>
      <c r="O147" s="1079"/>
      <c r="P147" s="1079"/>
      <c r="Q147" s="1079"/>
      <c r="R147" s="1555"/>
      <c r="S147" s="1079"/>
      <c r="T147" s="1079"/>
      <c r="U147" s="481"/>
      <c r="V147" s="1079"/>
      <c r="W147" s="1079"/>
      <c r="X147" s="1079"/>
      <c r="Y147" s="1079"/>
      <c r="Z147" s="1079"/>
      <c r="AA147" s="1551"/>
      <c r="AB147" s="503"/>
      <c r="AC147" s="503"/>
      <c r="AD147" s="503"/>
      <c r="AE147" s="503"/>
      <c r="AF147" s="1560">
        <v>11</v>
      </c>
    </row>
    <row r="148" spans="1:32" s="2269" customFormat="1" ht="11.45" customHeight="1">
      <c r="A148" s="912"/>
      <c r="B148" s="1555"/>
      <c r="C148" s="1555"/>
      <c r="D148" s="288"/>
      <c r="K148" s="1079"/>
      <c r="L148" s="1555"/>
      <c r="M148" s="1555"/>
      <c r="N148" s="1079"/>
      <c r="O148" s="1079"/>
      <c r="P148" s="1079"/>
      <c r="Q148" s="1079"/>
      <c r="R148" s="1555"/>
      <c r="S148" s="1079"/>
      <c r="T148" s="1079"/>
      <c r="U148" s="481"/>
      <c r="V148" s="1079"/>
      <c r="W148" s="1079"/>
      <c r="X148" s="1079"/>
      <c r="Y148" s="1079"/>
      <c r="Z148" s="1079"/>
      <c r="AA148" s="1551"/>
      <c r="AB148" s="503"/>
      <c r="AC148" s="503"/>
      <c r="AD148" s="503"/>
      <c r="AE148" s="503"/>
      <c r="AF148" s="1560">
        <v>11</v>
      </c>
    </row>
    <row r="149" spans="1:32" s="2269" customFormat="1" ht="11.45" customHeight="1">
      <c r="A149" s="912"/>
      <c r="B149" s="1555"/>
      <c r="C149" s="1555"/>
      <c r="D149" s="288"/>
      <c r="K149" s="1079"/>
      <c r="L149" s="1555"/>
      <c r="M149" s="1555"/>
      <c r="N149" s="1079"/>
      <c r="O149" s="1079"/>
      <c r="P149" s="1079"/>
      <c r="Q149" s="1079"/>
      <c r="R149" s="1555"/>
      <c r="S149" s="1079"/>
      <c r="T149" s="1079"/>
      <c r="U149" s="481"/>
      <c r="V149" s="1079"/>
      <c r="W149" s="1079"/>
      <c r="X149" s="1079"/>
      <c r="Y149" s="1079"/>
      <c r="Z149" s="1079"/>
      <c r="AA149" s="1551"/>
      <c r="AB149" s="503"/>
      <c r="AC149" s="503"/>
      <c r="AD149" s="503"/>
      <c r="AE149" s="503"/>
      <c r="AF149" s="1560">
        <v>11</v>
      </c>
    </row>
    <row r="150" spans="1:32" s="2269" customFormat="1" ht="11.45" customHeight="1">
      <c r="A150" s="912"/>
      <c r="B150" s="1555"/>
      <c r="C150" s="1555"/>
      <c r="D150" s="288"/>
      <c r="K150" s="1079"/>
      <c r="L150" s="1555"/>
      <c r="M150" s="1555"/>
      <c r="N150" s="1079"/>
      <c r="O150" s="1079"/>
      <c r="P150" s="1079"/>
      <c r="Q150" s="1079"/>
      <c r="R150" s="1555"/>
      <c r="S150" s="1079"/>
      <c r="T150" s="1079"/>
      <c r="U150" s="481"/>
      <c r="V150" s="1079"/>
      <c r="W150" s="1079"/>
      <c r="X150" s="1079"/>
      <c r="Y150" s="1079"/>
      <c r="Z150" s="1079"/>
      <c r="AA150" s="1551"/>
      <c r="AB150" s="503"/>
      <c r="AC150" s="503"/>
      <c r="AD150" s="503"/>
      <c r="AE150" s="503"/>
      <c r="AF150" s="1560">
        <v>11</v>
      </c>
    </row>
    <row r="151" spans="1:32" s="2269" customFormat="1" ht="11.45" customHeight="1">
      <c r="A151" s="912"/>
      <c r="B151" s="1555"/>
      <c r="C151" s="1555"/>
      <c r="D151" s="288"/>
      <c r="K151" s="1079"/>
      <c r="L151" s="1555"/>
      <c r="M151" s="1555"/>
      <c r="N151" s="1079"/>
      <c r="O151" s="1079"/>
      <c r="P151" s="1079"/>
      <c r="Q151" s="1079"/>
      <c r="R151" s="1555"/>
      <c r="S151" s="1079"/>
      <c r="T151" s="1079"/>
      <c r="U151" s="481"/>
      <c r="V151" s="1079"/>
      <c r="W151" s="1079"/>
      <c r="X151" s="1079"/>
      <c r="Y151" s="1079"/>
      <c r="Z151" s="1079"/>
      <c r="AA151" s="1551"/>
      <c r="AB151" s="503"/>
      <c r="AC151" s="503"/>
      <c r="AD151" s="503"/>
      <c r="AE151" s="503"/>
      <c r="AF151" s="1560">
        <v>11</v>
      </c>
    </row>
    <row r="152" spans="1:32" s="2269" customFormat="1" ht="11.45" customHeight="1">
      <c r="A152" s="912"/>
      <c r="B152" s="1555"/>
      <c r="C152" s="1555"/>
      <c r="D152" s="288"/>
      <c r="K152" s="1079"/>
      <c r="L152" s="1555"/>
      <c r="M152" s="1555"/>
      <c r="N152" s="1079"/>
      <c r="O152" s="1079"/>
      <c r="P152" s="1079"/>
      <c r="Q152" s="1079"/>
      <c r="R152" s="1555"/>
      <c r="S152" s="1079"/>
      <c r="T152" s="1079"/>
      <c r="U152" s="481"/>
      <c r="V152" s="1079"/>
      <c r="W152" s="1079"/>
      <c r="X152" s="1079"/>
      <c r="Y152" s="1079"/>
      <c r="Z152" s="1079"/>
      <c r="AA152" s="1551"/>
      <c r="AB152" s="503"/>
      <c r="AC152" s="503"/>
      <c r="AD152" s="503"/>
      <c r="AE152" s="503"/>
      <c r="AF152" s="1560">
        <v>11</v>
      </c>
    </row>
    <row r="153" spans="1:32" s="2269" customFormat="1" ht="11.45" customHeight="1">
      <c r="A153" s="912"/>
      <c r="B153" s="1555"/>
      <c r="C153" s="1555"/>
      <c r="D153" s="288"/>
      <c r="K153" s="1079"/>
      <c r="L153" s="1555"/>
      <c r="M153" s="1555"/>
      <c r="N153" s="1079"/>
      <c r="O153" s="1079"/>
      <c r="P153" s="1079"/>
      <c r="Q153" s="1079"/>
      <c r="R153" s="1555"/>
      <c r="S153" s="1079"/>
      <c r="T153" s="1079"/>
      <c r="U153" s="481"/>
      <c r="V153" s="1079"/>
      <c r="W153" s="1079"/>
      <c r="X153" s="1079"/>
      <c r="Y153" s="1079"/>
      <c r="Z153" s="1079"/>
      <c r="AA153" s="1551"/>
      <c r="AB153" s="503"/>
      <c r="AC153" s="503"/>
      <c r="AD153" s="503"/>
      <c r="AE153" s="503"/>
      <c r="AF153" s="1560">
        <v>11</v>
      </c>
    </row>
    <row r="154" spans="1:32" s="2269" customFormat="1" ht="11.45" customHeight="1">
      <c r="A154" s="912"/>
      <c r="B154" s="1555"/>
      <c r="C154" s="1555"/>
      <c r="D154" s="288"/>
      <c r="K154" s="1079"/>
      <c r="L154" s="1555"/>
      <c r="M154" s="1555"/>
      <c r="N154" s="1079"/>
      <c r="O154" s="1079"/>
      <c r="P154" s="1079"/>
      <c r="Q154" s="1079"/>
      <c r="R154" s="1555"/>
      <c r="S154" s="1079"/>
      <c r="T154" s="1079"/>
      <c r="U154" s="481"/>
      <c r="V154" s="1079"/>
      <c r="W154" s="1079"/>
      <c r="X154" s="1079"/>
      <c r="Y154" s="1079"/>
      <c r="Z154" s="1079"/>
      <c r="AA154" s="1551"/>
      <c r="AB154" s="503"/>
      <c r="AC154" s="503"/>
      <c r="AD154" s="503"/>
      <c r="AE154" s="503"/>
      <c r="AF154" s="1560">
        <v>11</v>
      </c>
    </row>
    <row r="155" spans="1:32" s="2269" customFormat="1" ht="11.45" customHeight="1">
      <c r="A155" s="912"/>
      <c r="B155" s="1555"/>
      <c r="C155" s="1555"/>
      <c r="D155" s="288"/>
      <c r="K155" s="1079"/>
      <c r="L155" s="1555"/>
      <c r="M155" s="1555"/>
      <c r="N155" s="1079"/>
      <c r="O155" s="1079"/>
      <c r="P155" s="1079"/>
      <c r="Q155" s="1079"/>
      <c r="R155" s="1555"/>
      <c r="S155" s="1079"/>
      <c r="T155" s="1079"/>
      <c r="U155" s="481"/>
      <c r="V155" s="1079"/>
      <c r="W155" s="1079"/>
      <c r="X155" s="1079"/>
      <c r="Y155" s="1079"/>
      <c r="Z155" s="1079"/>
      <c r="AA155" s="1551"/>
      <c r="AB155" s="503"/>
      <c r="AC155" s="503"/>
      <c r="AD155" s="503"/>
      <c r="AE155" s="503"/>
      <c r="AF155" s="1560">
        <v>11</v>
      </c>
    </row>
    <row r="156" spans="1:32" s="2269" customFormat="1" ht="11.45" customHeight="1">
      <c r="A156" s="912"/>
      <c r="B156" s="1555"/>
      <c r="C156" s="1555"/>
      <c r="D156" s="288"/>
      <c r="K156" s="1079"/>
      <c r="L156" s="1555"/>
      <c r="M156" s="1555"/>
      <c r="N156" s="1079"/>
      <c r="O156" s="1079"/>
      <c r="P156" s="1079"/>
      <c r="Q156" s="1079"/>
      <c r="R156" s="1555"/>
      <c r="S156" s="1079"/>
      <c r="T156" s="1079"/>
      <c r="U156" s="481"/>
      <c r="V156" s="1079"/>
      <c r="W156" s="1079"/>
      <c r="X156" s="1079"/>
      <c r="Y156" s="1079"/>
      <c r="Z156" s="1079"/>
      <c r="AA156" s="1551"/>
      <c r="AB156" s="503"/>
      <c r="AC156" s="503"/>
      <c r="AD156" s="503"/>
      <c r="AE156" s="503"/>
      <c r="AF156" s="1560">
        <v>11</v>
      </c>
    </row>
    <row r="157" spans="1:32" s="2269" customFormat="1" ht="11.45" customHeight="1">
      <c r="A157" s="912"/>
      <c r="B157" s="1555"/>
      <c r="C157" s="1555"/>
      <c r="D157" s="288"/>
      <c r="K157" s="1079"/>
      <c r="L157" s="1555"/>
      <c r="M157" s="1555"/>
      <c r="N157" s="1079"/>
      <c r="O157" s="1079"/>
      <c r="P157" s="1079"/>
      <c r="Q157" s="1079"/>
      <c r="R157" s="1555"/>
      <c r="S157" s="1079"/>
      <c r="T157" s="1079"/>
      <c r="U157" s="481"/>
      <c r="V157" s="1079"/>
      <c r="W157" s="1079"/>
      <c r="X157" s="1079"/>
      <c r="Y157" s="1079"/>
      <c r="Z157" s="1079"/>
      <c r="AA157" s="1551"/>
      <c r="AB157" s="503"/>
      <c r="AC157" s="503"/>
      <c r="AD157" s="503"/>
      <c r="AE157" s="503"/>
      <c r="AF157" s="1560">
        <v>11</v>
      </c>
    </row>
    <row r="158" spans="1:32" s="2269" customFormat="1" ht="11.45" customHeight="1">
      <c r="A158" s="912"/>
      <c r="B158" s="1555"/>
      <c r="C158" s="1555"/>
      <c r="D158" s="288"/>
      <c r="K158" s="1079"/>
      <c r="L158" s="1555"/>
      <c r="M158" s="1555"/>
      <c r="N158" s="1079"/>
      <c r="O158" s="1079"/>
      <c r="P158" s="1079"/>
      <c r="Q158" s="1079"/>
      <c r="R158" s="1555"/>
      <c r="S158" s="1079"/>
      <c r="T158" s="1079"/>
      <c r="U158" s="481"/>
      <c r="V158" s="1079"/>
      <c r="W158" s="1079"/>
      <c r="X158" s="1079"/>
      <c r="Y158" s="1079"/>
      <c r="Z158" s="1079"/>
      <c r="AA158" s="1551"/>
      <c r="AB158" s="503"/>
      <c r="AC158" s="503"/>
      <c r="AD158" s="503"/>
      <c r="AE158" s="503"/>
      <c r="AF158" s="1560">
        <v>11</v>
      </c>
    </row>
    <row r="159" spans="1:32" s="2269" customFormat="1" ht="11.45" customHeight="1">
      <c r="A159" s="912"/>
      <c r="B159" s="1555"/>
      <c r="C159" s="1555"/>
      <c r="D159" s="288"/>
      <c r="K159" s="1079"/>
      <c r="L159" s="1555"/>
      <c r="M159" s="1555"/>
      <c r="N159" s="1079"/>
      <c r="O159" s="1079"/>
      <c r="P159" s="1079"/>
      <c r="Q159" s="1079"/>
      <c r="R159" s="1555"/>
      <c r="S159" s="1079"/>
      <c r="T159" s="1079"/>
      <c r="U159" s="481"/>
      <c r="V159" s="1079"/>
      <c r="W159" s="1079"/>
      <c r="X159" s="1079"/>
      <c r="Y159" s="1079"/>
      <c r="Z159" s="1079"/>
      <c r="AA159" s="1551"/>
      <c r="AB159" s="503"/>
      <c r="AC159" s="503"/>
      <c r="AD159" s="503"/>
      <c r="AE159" s="503"/>
      <c r="AF159" s="1560">
        <v>11</v>
      </c>
    </row>
    <row r="160" spans="1:32" s="2269" customFormat="1" ht="11.45" customHeight="1">
      <c r="A160" s="912"/>
      <c r="B160" s="1555"/>
      <c r="C160" s="1555"/>
      <c r="D160" s="288"/>
      <c r="K160" s="1079"/>
      <c r="L160" s="1555"/>
      <c r="M160" s="1555"/>
      <c r="N160" s="1079"/>
      <c r="O160" s="1079"/>
      <c r="P160" s="1079"/>
      <c r="Q160" s="1079"/>
      <c r="R160" s="1555"/>
      <c r="S160" s="1079"/>
      <c r="T160" s="1079"/>
      <c r="U160" s="481"/>
      <c r="V160" s="1079"/>
      <c r="W160" s="1079"/>
      <c r="X160" s="1079"/>
      <c r="Y160" s="1079"/>
      <c r="Z160" s="1079"/>
      <c r="AA160" s="1551"/>
      <c r="AB160" s="503"/>
      <c r="AC160" s="503"/>
      <c r="AD160" s="503"/>
      <c r="AE160" s="503"/>
      <c r="AF160" s="1560">
        <v>11</v>
      </c>
    </row>
    <row r="161" spans="1:32" s="2269" customFormat="1" ht="11.45" customHeight="1">
      <c r="A161" s="912"/>
      <c r="B161" s="1555"/>
      <c r="C161" s="1555"/>
      <c r="D161" s="288"/>
      <c r="K161" s="1079"/>
      <c r="L161" s="1555"/>
      <c r="M161" s="1555"/>
      <c r="N161" s="1079"/>
      <c r="O161" s="1079"/>
      <c r="P161" s="1079"/>
      <c r="Q161" s="1079"/>
      <c r="R161" s="1555"/>
      <c r="S161" s="1079"/>
      <c r="T161" s="1079"/>
      <c r="U161" s="481"/>
      <c r="V161" s="1079"/>
      <c r="W161" s="1079"/>
      <c r="X161" s="1079"/>
      <c r="Y161" s="1079"/>
      <c r="Z161" s="1079"/>
      <c r="AA161" s="1551"/>
      <c r="AB161" s="503"/>
      <c r="AC161" s="503"/>
      <c r="AD161" s="503"/>
      <c r="AE161" s="503"/>
      <c r="AF161" s="1560">
        <v>11</v>
      </c>
    </row>
    <row r="162" spans="1:32" s="2269" customFormat="1" ht="11.45" customHeight="1">
      <c r="A162" s="912"/>
      <c r="B162" s="1555"/>
      <c r="C162" s="1555"/>
      <c r="D162" s="288"/>
      <c r="K162" s="1079"/>
      <c r="L162" s="1555"/>
      <c r="M162" s="1555"/>
      <c r="N162" s="1079"/>
      <c r="O162" s="1079"/>
      <c r="P162" s="1079"/>
      <c r="Q162" s="1079"/>
      <c r="R162" s="1555"/>
      <c r="S162" s="1079"/>
      <c r="T162" s="1079"/>
      <c r="U162" s="481"/>
      <c r="V162" s="1079"/>
      <c r="W162" s="1079"/>
      <c r="X162" s="1079"/>
      <c r="Y162" s="1079"/>
      <c r="Z162" s="1079"/>
      <c r="AA162" s="1551"/>
      <c r="AB162" s="503"/>
      <c r="AC162" s="503"/>
      <c r="AD162" s="503"/>
      <c r="AE162" s="503"/>
      <c r="AF162" s="1560">
        <v>11</v>
      </c>
    </row>
    <row r="163" spans="1:32" s="2269" customFormat="1" ht="11.45" customHeight="1">
      <c r="A163" s="912"/>
      <c r="B163" s="1555"/>
      <c r="C163" s="1555"/>
      <c r="D163" s="288"/>
      <c r="K163" s="1079"/>
      <c r="L163" s="1555"/>
      <c r="M163" s="1555"/>
      <c r="N163" s="1079"/>
      <c r="O163" s="1079"/>
      <c r="P163" s="1079"/>
      <c r="Q163" s="1079"/>
      <c r="R163" s="1555"/>
      <c r="S163" s="1079"/>
      <c r="T163" s="1079"/>
      <c r="U163" s="481"/>
      <c r="V163" s="1079"/>
      <c r="W163" s="1079"/>
      <c r="X163" s="1079"/>
      <c r="Y163" s="1079"/>
      <c r="Z163" s="1079"/>
      <c r="AA163" s="1551"/>
      <c r="AB163" s="503"/>
      <c r="AC163" s="503"/>
      <c r="AD163" s="503"/>
      <c r="AE163" s="503"/>
      <c r="AF163" s="1560">
        <v>11</v>
      </c>
    </row>
    <row r="164" spans="1:32" s="2269" customFormat="1" ht="11.45" customHeight="1">
      <c r="A164" s="912"/>
      <c r="B164" s="1555"/>
      <c r="C164" s="1555"/>
      <c r="D164" s="288"/>
      <c r="K164" s="1079"/>
      <c r="L164" s="1555"/>
      <c r="M164" s="1555"/>
      <c r="N164" s="1079"/>
      <c r="O164" s="1079"/>
      <c r="P164" s="1079"/>
      <c r="Q164" s="1079"/>
      <c r="R164" s="1555"/>
      <c r="S164" s="1079"/>
      <c r="T164" s="1079"/>
      <c r="U164" s="481"/>
      <c r="V164" s="1079"/>
      <c r="W164" s="1079"/>
      <c r="X164" s="1079"/>
      <c r="Y164" s="1079"/>
      <c r="Z164" s="1079"/>
      <c r="AA164" s="1551"/>
      <c r="AB164" s="503"/>
      <c r="AC164" s="503"/>
      <c r="AD164" s="503"/>
      <c r="AE164" s="503"/>
      <c r="AF164" s="1560">
        <v>11</v>
      </c>
    </row>
    <row r="165" spans="1:32" s="2269" customFormat="1" ht="11.45" customHeight="1">
      <c r="A165" s="912"/>
      <c r="B165" s="1555"/>
      <c r="C165" s="1555"/>
      <c r="D165" s="288"/>
      <c r="K165" s="1079"/>
      <c r="L165" s="1555"/>
      <c r="M165" s="1555"/>
      <c r="N165" s="1079"/>
      <c r="O165" s="1079"/>
      <c r="P165" s="1079"/>
      <c r="Q165" s="1079"/>
      <c r="R165" s="1555"/>
      <c r="S165" s="1079"/>
      <c r="T165" s="1079"/>
      <c r="U165" s="481"/>
      <c r="V165" s="1079"/>
      <c r="W165" s="1079"/>
      <c r="X165" s="1079"/>
      <c r="Y165" s="1079"/>
      <c r="Z165" s="1079"/>
      <c r="AA165" s="1551"/>
      <c r="AB165" s="503"/>
      <c r="AC165" s="503"/>
      <c r="AD165" s="503"/>
      <c r="AE165" s="503"/>
      <c r="AF165" s="1560">
        <v>11</v>
      </c>
    </row>
    <row r="166" spans="1:32" s="2269" customFormat="1" ht="11.45" customHeight="1">
      <c r="A166" s="912"/>
      <c r="B166" s="1555"/>
      <c r="C166" s="1555"/>
      <c r="D166" s="288"/>
      <c r="K166" s="1079"/>
      <c r="L166" s="1555"/>
      <c r="M166" s="1555"/>
      <c r="N166" s="1079"/>
      <c r="O166" s="1079"/>
      <c r="P166" s="1079"/>
      <c r="Q166" s="1079"/>
      <c r="R166" s="1555"/>
      <c r="S166" s="1079"/>
      <c r="T166" s="1079"/>
      <c r="U166" s="481"/>
      <c r="V166" s="1079"/>
      <c r="W166" s="1079"/>
      <c r="X166" s="1079"/>
      <c r="Y166" s="1079"/>
      <c r="Z166" s="1079"/>
      <c r="AA166" s="1551"/>
      <c r="AB166" s="503"/>
      <c r="AC166" s="503"/>
      <c r="AD166" s="503"/>
      <c r="AE166" s="503"/>
      <c r="AF166" s="1560">
        <v>11</v>
      </c>
    </row>
    <row r="167" spans="1:32" s="2269" customFormat="1" ht="11.45" customHeight="1">
      <c r="A167" s="912"/>
      <c r="B167" s="1555"/>
      <c r="C167" s="1555"/>
      <c r="D167" s="288"/>
      <c r="K167" s="1079"/>
      <c r="L167" s="1555"/>
      <c r="M167" s="1555"/>
      <c r="N167" s="1079"/>
      <c r="O167" s="1079"/>
      <c r="P167" s="1079"/>
      <c r="Q167" s="1079"/>
      <c r="R167" s="1555"/>
      <c r="S167" s="1079"/>
      <c r="T167" s="1079"/>
      <c r="U167" s="481"/>
      <c r="V167" s="1079"/>
      <c r="W167" s="1079"/>
      <c r="X167" s="1079"/>
      <c r="Y167" s="1079"/>
      <c r="Z167" s="1079"/>
      <c r="AA167" s="1551"/>
      <c r="AB167" s="503"/>
      <c r="AC167" s="503"/>
      <c r="AD167" s="503"/>
      <c r="AE167" s="503"/>
      <c r="AF167" s="1560">
        <v>11</v>
      </c>
    </row>
    <row r="168" spans="1:32" s="2269" customFormat="1" ht="11.45" customHeight="1">
      <c r="A168" s="912"/>
      <c r="B168" s="1555"/>
      <c r="C168" s="1555"/>
      <c r="D168" s="288"/>
      <c r="K168" s="1079"/>
      <c r="L168" s="1555"/>
      <c r="M168" s="1555"/>
      <c r="N168" s="1079"/>
      <c r="O168" s="1079"/>
      <c r="P168" s="1079"/>
      <c r="Q168" s="1079"/>
      <c r="R168" s="1555"/>
      <c r="S168" s="1079"/>
      <c r="T168" s="1079"/>
      <c r="U168" s="481"/>
      <c r="V168" s="1079"/>
      <c r="W168" s="1079"/>
      <c r="X168" s="1079"/>
      <c r="Y168" s="1079"/>
      <c r="Z168" s="1079"/>
      <c r="AA168" s="1551"/>
      <c r="AB168" s="503"/>
      <c r="AC168" s="503"/>
      <c r="AD168" s="503"/>
      <c r="AE168" s="503"/>
      <c r="AF168" s="1560">
        <v>11</v>
      </c>
    </row>
    <row r="169" spans="1:32" s="2269" customFormat="1" ht="11.45" customHeight="1">
      <c r="A169" s="912"/>
      <c r="B169" s="1555"/>
      <c r="C169" s="1555"/>
      <c r="D169" s="288"/>
      <c r="K169" s="1079"/>
      <c r="L169" s="1555"/>
      <c r="M169" s="1555"/>
      <c r="N169" s="1079"/>
      <c r="O169" s="1079"/>
      <c r="P169" s="1079"/>
      <c r="Q169" s="1079"/>
      <c r="R169" s="1555"/>
      <c r="S169" s="1079"/>
      <c r="T169" s="1079"/>
      <c r="U169" s="481"/>
      <c r="V169" s="1079"/>
      <c r="W169" s="1079"/>
      <c r="X169" s="1079"/>
      <c r="Y169" s="1079"/>
      <c r="Z169" s="1079"/>
      <c r="AA169" s="1551"/>
      <c r="AB169" s="503"/>
      <c r="AC169" s="503"/>
      <c r="AD169" s="503"/>
      <c r="AE169" s="503"/>
      <c r="AF169" s="1560">
        <v>11</v>
      </c>
    </row>
    <row r="170" spans="1:32" s="2269" customFormat="1" ht="11.45" customHeight="1">
      <c r="A170" s="912"/>
      <c r="B170" s="1555"/>
      <c r="C170" s="1555"/>
      <c r="D170" s="288"/>
      <c r="K170" s="1079"/>
      <c r="L170" s="1555"/>
      <c r="M170" s="1555"/>
      <c r="N170" s="1079"/>
      <c r="O170" s="1079"/>
      <c r="P170" s="1079"/>
      <c r="Q170" s="1079"/>
      <c r="R170" s="1555"/>
      <c r="S170" s="1079"/>
      <c r="T170" s="1079"/>
      <c r="U170" s="481"/>
      <c r="V170" s="1079"/>
      <c r="W170" s="1079"/>
      <c r="X170" s="1079"/>
      <c r="Y170" s="1079"/>
      <c r="Z170" s="1079"/>
      <c r="AA170" s="1551"/>
      <c r="AB170" s="503"/>
      <c r="AC170" s="503"/>
      <c r="AD170" s="503"/>
      <c r="AE170" s="503"/>
      <c r="AF170" s="1560">
        <v>11</v>
      </c>
    </row>
    <row r="171" spans="1:32" s="2269" customFormat="1" ht="11.45" customHeight="1">
      <c r="A171" s="912"/>
      <c r="B171" s="1555"/>
      <c r="C171" s="1555"/>
      <c r="D171" s="288"/>
      <c r="K171" s="1079"/>
      <c r="L171" s="1555"/>
      <c r="M171" s="1555"/>
      <c r="N171" s="1079"/>
      <c r="O171" s="1079"/>
      <c r="P171" s="1079"/>
      <c r="Q171" s="1079"/>
      <c r="R171" s="1555"/>
      <c r="S171" s="1079"/>
      <c r="T171" s="1079"/>
      <c r="U171" s="481"/>
      <c r="V171" s="1079"/>
      <c r="W171" s="1079"/>
      <c r="X171" s="1079"/>
      <c r="Y171" s="1079"/>
      <c r="Z171" s="1079"/>
      <c r="AA171" s="1551"/>
      <c r="AB171" s="503"/>
      <c r="AC171" s="503"/>
      <c r="AD171" s="503"/>
      <c r="AE171" s="503"/>
      <c r="AF171" s="1560">
        <v>11</v>
      </c>
    </row>
    <row r="172" spans="1:32" s="2269" customFormat="1" ht="11.45" customHeight="1">
      <c r="A172" s="912"/>
      <c r="B172" s="1555"/>
      <c r="C172" s="1555"/>
      <c r="D172" s="288"/>
      <c r="K172" s="1079"/>
      <c r="L172" s="1555"/>
      <c r="M172" s="1555"/>
      <c r="N172" s="1079"/>
      <c r="O172" s="1079"/>
      <c r="P172" s="1079"/>
      <c r="Q172" s="1079"/>
      <c r="R172" s="1555"/>
      <c r="S172" s="1079"/>
      <c r="T172" s="1079"/>
      <c r="U172" s="481"/>
      <c r="V172" s="1079"/>
      <c r="W172" s="1079"/>
      <c r="X172" s="1079"/>
      <c r="Y172" s="1079"/>
      <c r="Z172" s="1079"/>
      <c r="AA172" s="1551"/>
      <c r="AB172" s="503"/>
      <c r="AC172" s="503"/>
      <c r="AD172" s="503"/>
      <c r="AE172" s="503"/>
      <c r="AF172" s="1560">
        <v>11</v>
      </c>
    </row>
    <row r="173" spans="1:32" s="2269" customFormat="1" ht="11.45" customHeight="1">
      <c r="A173" s="912"/>
      <c r="B173" s="1555"/>
      <c r="C173" s="1555"/>
      <c r="D173" s="288"/>
      <c r="K173" s="1079"/>
      <c r="L173" s="1555"/>
      <c r="M173" s="1555"/>
      <c r="N173" s="1079"/>
      <c r="O173" s="1079"/>
      <c r="P173" s="1079"/>
      <c r="Q173" s="1079"/>
      <c r="R173" s="1555"/>
      <c r="S173" s="1079"/>
      <c r="T173" s="1079"/>
      <c r="U173" s="481"/>
      <c r="V173" s="1079"/>
      <c r="W173" s="1079"/>
      <c r="X173" s="1079"/>
      <c r="Y173" s="1079"/>
      <c r="Z173" s="1079"/>
      <c r="AA173" s="1551"/>
      <c r="AB173" s="503"/>
      <c r="AC173" s="503"/>
      <c r="AD173" s="503"/>
      <c r="AE173" s="503"/>
      <c r="AF173" s="1560">
        <v>11</v>
      </c>
    </row>
    <row r="174" spans="1:32" s="2269" customFormat="1" ht="11.45" customHeight="1">
      <c r="A174" s="912"/>
      <c r="B174" s="1555"/>
      <c r="C174" s="1555"/>
      <c r="D174" s="288"/>
      <c r="K174" s="1079"/>
      <c r="L174" s="1555"/>
      <c r="M174" s="1555"/>
      <c r="N174" s="1079"/>
      <c r="O174" s="1079"/>
      <c r="P174" s="1079"/>
      <c r="Q174" s="1079"/>
      <c r="R174" s="1555"/>
      <c r="S174" s="1079"/>
      <c r="T174" s="1079"/>
      <c r="U174" s="481"/>
      <c r="V174" s="1079"/>
      <c r="W174" s="1079"/>
      <c r="X174" s="1079"/>
      <c r="Y174" s="1079"/>
      <c r="Z174" s="1079"/>
      <c r="AA174" s="1551"/>
      <c r="AB174" s="503"/>
      <c r="AC174" s="503"/>
      <c r="AD174" s="503"/>
      <c r="AE174" s="503"/>
      <c r="AF174" s="1560">
        <v>11</v>
      </c>
    </row>
    <row r="175" spans="1:32" s="2269" customFormat="1" ht="11.45" customHeight="1">
      <c r="A175" s="912"/>
      <c r="B175" s="1555"/>
      <c r="C175" s="1555"/>
      <c r="D175" s="288"/>
      <c r="K175" s="1079"/>
      <c r="L175" s="1555"/>
      <c r="M175" s="1555"/>
      <c r="N175" s="1079"/>
      <c r="O175" s="1079"/>
      <c r="P175" s="1079"/>
      <c r="Q175" s="1079"/>
      <c r="R175" s="1555"/>
      <c r="S175" s="1079"/>
      <c r="T175" s="1079"/>
      <c r="U175" s="481"/>
      <c r="V175" s="1079"/>
      <c r="W175" s="1079"/>
      <c r="X175" s="1079"/>
      <c r="Y175" s="1079"/>
      <c r="Z175" s="1079"/>
      <c r="AA175" s="1551"/>
      <c r="AB175" s="503"/>
      <c r="AC175" s="503"/>
      <c r="AD175" s="503"/>
      <c r="AE175" s="503"/>
      <c r="AF175" s="1560">
        <v>11</v>
      </c>
    </row>
    <row r="176" spans="1:32" s="2269" customFormat="1" ht="11.45" customHeight="1">
      <c r="A176" s="912"/>
      <c r="B176" s="1555"/>
      <c r="C176" s="1555"/>
      <c r="D176" s="288"/>
      <c r="K176" s="1079"/>
      <c r="L176" s="1555"/>
      <c r="M176" s="1555"/>
      <c r="N176" s="1079"/>
      <c r="O176" s="1079"/>
      <c r="P176" s="1079"/>
      <c r="Q176" s="1079"/>
      <c r="R176" s="1555"/>
      <c r="S176" s="1079"/>
      <c r="T176" s="1079"/>
      <c r="U176" s="481"/>
      <c r="V176" s="1079"/>
      <c r="W176" s="1079"/>
      <c r="X176" s="1079"/>
      <c r="Y176" s="1079"/>
      <c r="Z176" s="1079"/>
      <c r="AA176" s="1551"/>
      <c r="AB176" s="503"/>
      <c r="AC176" s="503"/>
      <c r="AD176" s="503"/>
      <c r="AE176" s="503"/>
      <c r="AF176" s="1560">
        <v>11</v>
      </c>
    </row>
    <row r="177" spans="1:32" s="2269" customFormat="1" ht="11.45" customHeight="1">
      <c r="A177" s="912"/>
      <c r="B177" s="1555"/>
      <c r="C177" s="1555"/>
      <c r="D177" s="288"/>
      <c r="K177" s="1079"/>
      <c r="L177" s="1555"/>
      <c r="M177" s="1555"/>
      <c r="N177" s="1079"/>
      <c r="O177" s="1079"/>
      <c r="P177" s="1079"/>
      <c r="Q177" s="1079"/>
      <c r="R177" s="1555"/>
      <c r="S177" s="1079"/>
      <c r="T177" s="1079"/>
      <c r="U177" s="481"/>
      <c r="V177" s="1079"/>
      <c r="W177" s="1079"/>
      <c r="X177" s="1079"/>
      <c r="Y177" s="1079"/>
      <c r="Z177" s="1079"/>
      <c r="AA177" s="1551"/>
      <c r="AB177" s="503"/>
      <c r="AC177" s="503"/>
      <c r="AD177" s="503"/>
      <c r="AE177" s="503"/>
      <c r="AF177" s="1560">
        <v>11</v>
      </c>
    </row>
    <row r="178" spans="1:32" s="2269" customFormat="1" ht="11.45" customHeight="1">
      <c r="A178" s="912"/>
      <c r="B178" s="1555"/>
      <c r="C178" s="1555"/>
      <c r="D178" s="288"/>
      <c r="K178" s="1079"/>
      <c r="L178" s="1555"/>
      <c r="M178" s="1555"/>
      <c r="N178" s="1079"/>
      <c r="O178" s="1079"/>
      <c r="P178" s="1079"/>
      <c r="Q178" s="1079"/>
      <c r="R178" s="1555"/>
      <c r="S178" s="1079"/>
      <c r="T178" s="1079"/>
      <c r="U178" s="481"/>
      <c r="V178" s="1079"/>
      <c r="W178" s="1079"/>
      <c r="X178" s="1079"/>
      <c r="Y178" s="1079"/>
      <c r="Z178" s="1079"/>
      <c r="AA178" s="1551"/>
      <c r="AB178" s="503"/>
      <c r="AC178" s="503"/>
      <c r="AD178" s="503"/>
      <c r="AE178" s="503"/>
      <c r="AF178" s="1560">
        <v>11</v>
      </c>
    </row>
    <row r="179" spans="1:32" s="2269" customFormat="1" ht="11.45" customHeight="1">
      <c r="A179" s="912"/>
      <c r="B179" s="1555"/>
      <c r="C179" s="1555"/>
      <c r="D179" s="288"/>
      <c r="K179" s="1079"/>
      <c r="L179" s="1555"/>
      <c r="M179" s="1555"/>
      <c r="N179" s="1079"/>
      <c r="O179" s="1079"/>
      <c r="P179" s="1079"/>
      <c r="Q179" s="1079"/>
      <c r="R179" s="1555"/>
      <c r="S179" s="1079"/>
      <c r="T179" s="1079"/>
      <c r="U179" s="481"/>
      <c r="V179" s="1079"/>
      <c r="W179" s="1079"/>
      <c r="X179" s="1079"/>
      <c r="Y179" s="1079"/>
      <c r="Z179" s="1079"/>
      <c r="AA179" s="1551"/>
      <c r="AB179" s="503"/>
      <c r="AC179" s="503"/>
      <c r="AD179" s="503"/>
      <c r="AE179" s="503"/>
      <c r="AF179" s="1560">
        <v>11</v>
      </c>
    </row>
    <row r="180" spans="1:32" s="2269" customFormat="1" ht="11.45" customHeight="1">
      <c r="A180" s="912"/>
      <c r="B180" s="1555"/>
      <c r="C180" s="1555"/>
      <c r="D180" s="288"/>
      <c r="K180" s="1079"/>
      <c r="L180" s="1555"/>
      <c r="M180" s="1555"/>
      <c r="N180" s="1079"/>
      <c r="O180" s="1079"/>
      <c r="P180" s="1079"/>
      <c r="Q180" s="1079"/>
      <c r="R180" s="1555"/>
      <c r="S180" s="1079"/>
      <c r="T180" s="1079"/>
      <c r="U180" s="481"/>
      <c r="V180" s="1079"/>
      <c r="W180" s="1079"/>
      <c r="X180" s="1079"/>
      <c r="Y180" s="1079"/>
      <c r="Z180" s="1079"/>
      <c r="AA180" s="1551"/>
      <c r="AB180" s="503"/>
      <c r="AC180" s="503"/>
      <c r="AD180" s="503"/>
      <c r="AE180" s="503"/>
      <c r="AF180" s="1560">
        <v>11</v>
      </c>
    </row>
    <row r="181" spans="1:32" s="2269" customFormat="1" ht="11.45" customHeight="1">
      <c r="A181" s="912"/>
      <c r="B181" s="1555"/>
      <c r="C181" s="1555"/>
      <c r="D181" s="288"/>
      <c r="K181" s="1079"/>
      <c r="L181" s="1555"/>
      <c r="M181" s="1555"/>
      <c r="N181" s="1079"/>
      <c r="O181" s="1079"/>
      <c r="P181" s="1079"/>
      <c r="Q181" s="1079"/>
      <c r="R181" s="1555"/>
      <c r="S181" s="1079"/>
      <c r="T181" s="1079"/>
      <c r="U181" s="481"/>
      <c r="V181" s="1079"/>
      <c r="W181" s="1079"/>
      <c r="X181" s="1079"/>
      <c r="Y181" s="1079"/>
      <c r="Z181" s="1079"/>
      <c r="AA181" s="1551"/>
      <c r="AB181" s="503"/>
      <c r="AC181" s="503"/>
      <c r="AD181" s="503"/>
      <c r="AE181" s="503"/>
      <c r="AF181" s="1560">
        <v>11</v>
      </c>
    </row>
    <row r="182" spans="1:32" s="2269" customFormat="1" ht="11.45" customHeight="1">
      <c r="A182" s="912"/>
      <c r="B182" s="1555"/>
      <c r="C182" s="1555"/>
      <c r="D182" s="288"/>
      <c r="K182" s="1079"/>
      <c r="L182" s="1555"/>
      <c r="M182" s="1555"/>
      <c r="N182" s="1079"/>
      <c r="O182" s="1079"/>
      <c r="P182" s="1079"/>
      <c r="Q182" s="1079"/>
      <c r="R182" s="1555"/>
      <c r="S182" s="1079"/>
      <c r="T182" s="1079"/>
      <c r="U182" s="481"/>
      <c r="V182" s="1079"/>
      <c r="W182" s="1079"/>
      <c r="X182" s="1079"/>
      <c r="Y182" s="1079"/>
      <c r="Z182" s="1079"/>
      <c r="AA182" s="1551"/>
      <c r="AB182" s="503"/>
      <c r="AC182" s="503"/>
      <c r="AD182" s="503"/>
      <c r="AE182" s="503"/>
      <c r="AF182" s="1560">
        <v>11</v>
      </c>
    </row>
    <row r="183" spans="1:32" s="2269" customFormat="1" ht="11.45" customHeight="1">
      <c r="A183" s="912"/>
      <c r="B183" s="1555"/>
      <c r="C183" s="1555"/>
      <c r="D183" s="288"/>
      <c r="K183" s="1079"/>
      <c r="L183" s="1555"/>
      <c r="M183" s="1555"/>
      <c r="N183" s="1079"/>
      <c r="O183" s="1079"/>
      <c r="P183" s="1079"/>
      <c r="Q183" s="1079"/>
      <c r="R183" s="1555"/>
      <c r="S183" s="1079"/>
      <c r="T183" s="1079"/>
      <c r="U183" s="481"/>
      <c r="V183" s="1079"/>
      <c r="W183" s="1079"/>
      <c r="X183" s="1079"/>
      <c r="Y183" s="1079"/>
      <c r="Z183" s="1079"/>
      <c r="AA183" s="1551"/>
      <c r="AB183" s="503"/>
      <c r="AC183" s="503"/>
      <c r="AD183" s="503"/>
      <c r="AE183" s="503"/>
      <c r="AF183" s="1560">
        <v>11</v>
      </c>
    </row>
    <row r="184" spans="1:32" s="2269" customFormat="1" ht="11.45" customHeight="1">
      <c r="A184" s="912"/>
      <c r="B184" s="1555"/>
      <c r="C184" s="1555"/>
      <c r="D184" s="288"/>
      <c r="K184" s="1079"/>
      <c r="L184" s="1555"/>
      <c r="M184" s="1555"/>
      <c r="N184" s="1079"/>
      <c r="O184" s="1079"/>
      <c r="P184" s="1079"/>
      <c r="Q184" s="1079"/>
      <c r="R184" s="1555"/>
      <c r="S184" s="1079"/>
      <c r="T184" s="1079"/>
      <c r="U184" s="481"/>
      <c r="V184" s="1079"/>
      <c r="W184" s="1079"/>
      <c r="X184" s="1079"/>
      <c r="Y184" s="1079"/>
      <c r="Z184" s="1079"/>
      <c r="AA184" s="1551"/>
      <c r="AB184" s="503"/>
      <c r="AC184" s="503"/>
      <c r="AD184" s="503"/>
      <c r="AE184" s="503"/>
      <c r="AF184" s="1560">
        <v>11</v>
      </c>
    </row>
    <row r="185" spans="1:32" s="2269" customFormat="1" ht="11.45" customHeight="1">
      <c r="A185" s="912"/>
      <c r="B185" s="1555"/>
      <c r="C185" s="1555"/>
      <c r="D185" s="288"/>
      <c r="K185" s="1079"/>
      <c r="L185" s="1555"/>
      <c r="M185" s="1555"/>
      <c r="N185" s="1079"/>
      <c r="O185" s="1079"/>
      <c r="P185" s="1079"/>
      <c r="Q185" s="1079"/>
      <c r="R185" s="1555"/>
      <c r="S185" s="1079"/>
      <c r="T185" s="1079"/>
      <c r="U185" s="481"/>
      <c r="V185" s="1079"/>
      <c r="W185" s="1079"/>
      <c r="X185" s="1079"/>
      <c r="Y185" s="1079"/>
      <c r="Z185" s="1079"/>
      <c r="AA185" s="1551"/>
      <c r="AB185" s="503"/>
      <c r="AC185" s="503"/>
      <c r="AD185" s="503"/>
      <c r="AE185" s="503"/>
      <c r="AF185" s="1560">
        <v>11</v>
      </c>
    </row>
    <row r="186" spans="1:32" s="2269" customFormat="1" ht="11.45" customHeight="1">
      <c r="A186" s="912"/>
      <c r="B186" s="1555"/>
      <c r="C186" s="1555"/>
      <c r="D186" s="288"/>
      <c r="K186" s="1079"/>
      <c r="L186" s="1555"/>
      <c r="M186" s="1555"/>
      <c r="N186" s="1079"/>
      <c r="O186" s="1079"/>
      <c r="P186" s="1079"/>
      <c r="Q186" s="1079"/>
      <c r="R186" s="1555"/>
      <c r="S186" s="1079"/>
      <c r="T186" s="1079"/>
      <c r="U186" s="481"/>
      <c r="V186" s="1079"/>
      <c r="W186" s="1079"/>
      <c r="X186" s="1079"/>
      <c r="Y186" s="1079"/>
      <c r="Z186" s="1079"/>
      <c r="AA186" s="1551"/>
      <c r="AB186" s="503"/>
      <c r="AC186" s="503"/>
      <c r="AD186" s="503"/>
      <c r="AE186" s="503"/>
      <c r="AF186" s="1560">
        <v>11</v>
      </c>
    </row>
    <row r="187" spans="1:32" s="2269" customFormat="1" ht="11.45" customHeight="1">
      <c r="A187" s="912"/>
      <c r="B187" s="1555"/>
      <c r="C187" s="1555"/>
      <c r="D187" s="288"/>
      <c r="K187" s="1079"/>
      <c r="L187" s="1555"/>
      <c r="M187" s="1555"/>
      <c r="N187" s="1079"/>
      <c r="O187" s="1079"/>
      <c r="P187" s="1079"/>
      <c r="Q187" s="1079"/>
      <c r="R187" s="1555"/>
      <c r="S187" s="1079"/>
      <c r="T187" s="1079"/>
      <c r="U187" s="481"/>
      <c r="V187" s="1079"/>
      <c r="W187" s="1079"/>
      <c r="X187" s="1079"/>
      <c r="Y187" s="1079"/>
      <c r="Z187" s="1079"/>
      <c r="AA187" s="1551"/>
      <c r="AB187" s="503"/>
      <c r="AC187" s="503"/>
      <c r="AD187" s="503"/>
      <c r="AE187" s="503"/>
      <c r="AF187" s="1560">
        <v>11</v>
      </c>
    </row>
    <row r="188" spans="1:32" s="2269" customFormat="1" ht="11.45" customHeight="1">
      <c r="A188" s="912"/>
      <c r="B188" s="1555"/>
      <c r="C188" s="1555"/>
      <c r="D188" s="288"/>
      <c r="K188" s="1079"/>
      <c r="L188" s="1555"/>
      <c r="M188" s="1555"/>
      <c r="N188" s="1079"/>
      <c r="O188" s="1079"/>
      <c r="P188" s="1079"/>
      <c r="Q188" s="1079"/>
      <c r="R188" s="1555"/>
      <c r="S188" s="1079"/>
      <c r="T188" s="1079"/>
      <c r="U188" s="481"/>
      <c r="V188" s="1079"/>
      <c r="W188" s="1079"/>
      <c r="X188" s="1079"/>
      <c r="Y188" s="1079"/>
      <c r="Z188" s="1079"/>
      <c r="AA188" s="1551"/>
      <c r="AB188" s="503"/>
      <c r="AC188" s="503"/>
      <c r="AD188" s="503"/>
      <c r="AE188" s="503"/>
      <c r="AF188" s="1560">
        <v>11</v>
      </c>
    </row>
    <row r="189" spans="1:32" s="2269" customFormat="1" ht="11.45" customHeight="1">
      <c r="A189" s="912"/>
      <c r="B189" s="1555"/>
      <c r="C189" s="1555"/>
      <c r="D189" s="288"/>
      <c r="K189" s="1079"/>
      <c r="L189" s="1555"/>
      <c r="M189" s="1555"/>
      <c r="N189" s="1079"/>
      <c r="O189" s="1079"/>
      <c r="P189" s="1079"/>
      <c r="Q189" s="1079"/>
      <c r="R189" s="1555"/>
      <c r="S189" s="1079"/>
      <c r="T189" s="1079"/>
      <c r="U189" s="481"/>
      <c r="V189" s="1079"/>
      <c r="W189" s="1079"/>
      <c r="X189" s="1079"/>
      <c r="Y189" s="1079"/>
      <c r="Z189" s="1079"/>
      <c r="AA189" s="1551"/>
      <c r="AB189" s="503"/>
      <c r="AC189" s="503"/>
      <c r="AD189" s="503"/>
      <c r="AE189" s="503"/>
      <c r="AF189" s="1560">
        <v>11</v>
      </c>
    </row>
    <row r="190" spans="1:32" s="2269" customFormat="1" ht="11.45" customHeight="1">
      <c r="A190" s="912"/>
      <c r="B190" s="1555"/>
      <c r="C190" s="1555"/>
      <c r="D190" s="288"/>
      <c r="K190" s="1079"/>
      <c r="L190" s="1555"/>
      <c r="M190" s="1555"/>
      <c r="N190" s="1079"/>
      <c r="O190" s="1079"/>
      <c r="P190" s="1079"/>
      <c r="Q190" s="1079"/>
      <c r="R190" s="1555"/>
      <c r="S190" s="1079"/>
      <c r="T190" s="1079"/>
      <c r="U190" s="481"/>
      <c r="V190" s="1079"/>
      <c r="W190" s="1079"/>
      <c r="X190" s="1079"/>
      <c r="Y190" s="1079"/>
      <c r="Z190" s="1079"/>
      <c r="AA190" s="1551"/>
      <c r="AB190" s="503"/>
      <c r="AC190" s="503"/>
      <c r="AD190" s="503"/>
      <c r="AE190" s="503"/>
      <c r="AF190" s="1560">
        <v>11</v>
      </c>
    </row>
    <row r="191" spans="1:32" s="2269" customFormat="1" ht="11.45" customHeight="1">
      <c r="A191" s="912"/>
      <c r="B191" s="1555"/>
      <c r="C191" s="1555"/>
      <c r="D191" s="288"/>
      <c r="K191" s="1079"/>
      <c r="L191" s="1555"/>
      <c r="M191" s="1555"/>
      <c r="N191" s="1079"/>
      <c r="O191" s="1079"/>
      <c r="P191" s="1079"/>
      <c r="Q191" s="1079"/>
      <c r="R191" s="1555"/>
      <c r="S191" s="1079"/>
      <c r="T191" s="1079"/>
      <c r="U191" s="481"/>
      <c r="V191" s="1079"/>
      <c r="W191" s="1079"/>
      <c r="X191" s="1079"/>
      <c r="Y191" s="1079"/>
      <c r="Z191" s="1079"/>
      <c r="AA191" s="1551"/>
      <c r="AB191" s="503"/>
      <c r="AC191" s="503"/>
      <c r="AD191" s="503"/>
      <c r="AE191" s="503"/>
      <c r="AF191" s="1560">
        <v>11</v>
      </c>
    </row>
    <row r="192" spans="1:32" s="2269" customFormat="1" ht="11.45" customHeight="1">
      <c r="A192" s="912"/>
      <c r="B192" s="1555"/>
      <c r="C192" s="1555"/>
      <c r="D192" s="288"/>
      <c r="K192" s="1079"/>
      <c r="L192" s="1555"/>
      <c r="M192" s="1555"/>
      <c r="N192" s="1079"/>
      <c r="O192" s="1079"/>
      <c r="P192" s="1079"/>
      <c r="Q192" s="1079"/>
      <c r="R192" s="1555"/>
      <c r="S192" s="1079"/>
      <c r="T192" s="1079"/>
      <c r="U192" s="481"/>
      <c r="V192" s="1079"/>
      <c r="W192" s="1079"/>
      <c r="X192" s="1079"/>
      <c r="Y192" s="1079"/>
      <c r="Z192" s="1079"/>
      <c r="AA192" s="1551"/>
      <c r="AB192" s="503"/>
      <c r="AC192" s="503"/>
      <c r="AD192" s="503"/>
      <c r="AE192" s="503"/>
      <c r="AF192" s="1560">
        <v>11</v>
      </c>
    </row>
    <row r="193" spans="1:32" s="2269" customFormat="1" ht="11.45" customHeight="1">
      <c r="A193" s="912"/>
      <c r="B193" s="1555"/>
      <c r="C193" s="1555"/>
      <c r="D193" s="288"/>
      <c r="K193" s="1079"/>
      <c r="L193" s="1555"/>
      <c r="M193" s="1555"/>
      <c r="N193" s="1079"/>
      <c r="O193" s="1079"/>
      <c r="P193" s="1079"/>
      <c r="Q193" s="1079"/>
      <c r="R193" s="1555"/>
      <c r="S193" s="1079"/>
      <c r="T193" s="1079"/>
      <c r="U193" s="481"/>
      <c r="V193" s="1079"/>
      <c r="W193" s="1079"/>
      <c r="X193" s="1079"/>
      <c r="Y193" s="1079"/>
      <c r="Z193" s="1079"/>
      <c r="AA193" s="1551"/>
      <c r="AB193" s="503"/>
      <c r="AC193" s="503"/>
      <c r="AD193" s="503"/>
      <c r="AE193" s="503"/>
      <c r="AF193" s="1560">
        <v>11</v>
      </c>
    </row>
    <row r="194" spans="1:32" s="2269" customFormat="1" ht="11.45" customHeight="1">
      <c r="A194" s="912"/>
      <c r="B194" s="1555"/>
      <c r="C194" s="1555"/>
      <c r="D194" s="288"/>
      <c r="K194" s="1079"/>
      <c r="L194" s="1555"/>
      <c r="M194" s="1555"/>
      <c r="N194" s="1079"/>
      <c r="O194" s="1079"/>
      <c r="P194" s="1079"/>
      <c r="Q194" s="1079"/>
      <c r="R194" s="1555"/>
      <c r="S194" s="1079"/>
      <c r="T194" s="1079"/>
      <c r="U194" s="481"/>
      <c r="V194" s="1079"/>
      <c r="W194" s="1079"/>
      <c r="X194" s="1079"/>
      <c r="Y194" s="1079"/>
      <c r="Z194" s="1079"/>
      <c r="AA194" s="1551"/>
      <c r="AB194" s="503"/>
      <c r="AC194" s="503"/>
      <c r="AD194" s="503"/>
      <c r="AE194" s="503"/>
      <c r="AF194" s="1560">
        <v>11</v>
      </c>
    </row>
    <row r="195" spans="1:32" s="2269" customFormat="1" ht="11.45" customHeight="1">
      <c r="A195" s="912"/>
      <c r="B195" s="1555"/>
      <c r="C195" s="1555"/>
      <c r="D195" s="288"/>
      <c r="K195" s="1079"/>
      <c r="L195" s="1555"/>
      <c r="M195" s="1555"/>
      <c r="N195" s="1079"/>
      <c r="O195" s="1079"/>
      <c r="P195" s="1079"/>
      <c r="Q195" s="1079"/>
      <c r="R195" s="1555"/>
      <c r="S195" s="1079"/>
      <c r="T195" s="1079"/>
      <c r="U195" s="481"/>
      <c r="V195" s="1079"/>
      <c r="W195" s="1079"/>
      <c r="X195" s="1079"/>
      <c r="Y195" s="1079"/>
      <c r="Z195" s="1079"/>
      <c r="AA195" s="1551"/>
      <c r="AB195" s="503"/>
      <c r="AC195" s="503"/>
      <c r="AD195" s="503"/>
      <c r="AE195" s="503"/>
      <c r="AF195" s="1560">
        <v>11</v>
      </c>
    </row>
    <row r="196" spans="1:32" s="2269" customFormat="1" ht="11.45" customHeight="1">
      <c r="A196" s="912"/>
      <c r="B196" s="1555"/>
      <c r="C196" s="1555"/>
      <c r="D196" s="288"/>
      <c r="K196" s="1079"/>
      <c r="L196" s="1555"/>
      <c r="M196" s="1555"/>
      <c r="N196" s="1079"/>
      <c r="O196" s="1079"/>
      <c r="P196" s="1079"/>
      <c r="Q196" s="1079"/>
      <c r="R196" s="1555"/>
      <c r="S196" s="1079"/>
      <c r="T196" s="1079"/>
      <c r="U196" s="481"/>
      <c r="V196" s="1079"/>
      <c r="W196" s="1079"/>
      <c r="X196" s="1079"/>
      <c r="Y196" s="1079"/>
      <c r="Z196" s="1079"/>
      <c r="AA196" s="1551"/>
      <c r="AB196" s="503"/>
      <c r="AC196" s="503"/>
      <c r="AD196" s="503"/>
      <c r="AE196" s="503"/>
      <c r="AF196" s="1560">
        <v>11</v>
      </c>
    </row>
    <row r="197" spans="1:32" s="2269" customFormat="1" ht="11.45" customHeight="1">
      <c r="A197" s="912"/>
      <c r="B197" s="1555"/>
      <c r="C197" s="1555"/>
      <c r="D197" s="288"/>
      <c r="K197" s="1079"/>
      <c r="L197" s="1555"/>
      <c r="M197" s="1555"/>
      <c r="N197" s="1079"/>
      <c r="O197" s="1079"/>
      <c r="P197" s="1079"/>
      <c r="Q197" s="1079"/>
      <c r="R197" s="1555"/>
      <c r="S197" s="1079"/>
      <c r="T197" s="1079"/>
      <c r="U197" s="481"/>
      <c r="V197" s="1079"/>
      <c r="W197" s="1079"/>
      <c r="X197" s="1079"/>
      <c r="Y197" s="1079"/>
      <c r="Z197" s="1079"/>
      <c r="AA197" s="1551"/>
      <c r="AB197" s="503"/>
      <c r="AC197" s="503"/>
      <c r="AD197" s="503"/>
      <c r="AE197" s="503"/>
      <c r="AF197" s="1560">
        <v>11</v>
      </c>
    </row>
    <row r="198" spans="1:32" s="2269" customFormat="1" ht="11.45" customHeight="1">
      <c r="A198" s="912"/>
      <c r="B198" s="1555"/>
      <c r="C198" s="1555"/>
      <c r="D198" s="288"/>
      <c r="K198" s="1079"/>
      <c r="L198" s="1555"/>
      <c r="M198" s="1555"/>
      <c r="N198" s="1079"/>
      <c r="O198" s="1079"/>
      <c r="P198" s="1079"/>
      <c r="Q198" s="1079"/>
      <c r="R198" s="1555"/>
      <c r="S198" s="1079"/>
      <c r="T198" s="1079"/>
      <c r="U198" s="481"/>
      <c r="V198" s="1079"/>
      <c r="W198" s="1079"/>
      <c r="X198" s="1079"/>
      <c r="Y198" s="1079"/>
      <c r="Z198" s="1079"/>
      <c r="AA198" s="1551"/>
      <c r="AB198" s="503"/>
      <c r="AC198" s="503"/>
      <c r="AD198" s="503"/>
      <c r="AE198" s="503"/>
      <c r="AF198" s="1560">
        <v>11</v>
      </c>
    </row>
    <row r="199" spans="1:32" s="2269" customFormat="1" ht="11.45" customHeight="1">
      <c r="A199" s="912"/>
      <c r="B199" s="1555"/>
      <c r="C199" s="1555"/>
      <c r="D199" s="288"/>
      <c r="K199" s="1079"/>
      <c r="L199" s="1555"/>
      <c r="M199" s="1555"/>
      <c r="N199" s="1079"/>
      <c r="O199" s="1079"/>
      <c r="P199" s="1079"/>
      <c r="Q199" s="1079"/>
      <c r="R199" s="1555"/>
      <c r="S199" s="1079"/>
      <c r="T199" s="1079"/>
      <c r="U199" s="481"/>
      <c r="V199" s="1079"/>
      <c r="W199" s="1079"/>
      <c r="X199" s="1079"/>
      <c r="Y199" s="1079"/>
      <c r="Z199" s="1079"/>
      <c r="AA199" s="1551"/>
      <c r="AB199" s="503"/>
      <c r="AC199" s="503"/>
      <c r="AD199" s="503"/>
      <c r="AE199" s="503"/>
      <c r="AF199" s="1560">
        <v>11</v>
      </c>
    </row>
    <row r="200" spans="1:32" s="2269" customFormat="1" ht="11.45" customHeight="1">
      <c r="A200" s="912"/>
      <c r="B200" s="1555"/>
      <c r="C200" s="1555"/>
      <c r="D200" s="288"/>
      <c r="K200" s="1079"/>
      <c r="L200" s="1555"/>
      <c r="M200" s="1555"/>
      <c r="N200" s="1079"/>
      <c r="O200" s="1079"/>
      <c r="P200" s="1079"/>
      <c r="Q200" s="1079"/>
      <c r="R200" s="1555"/>
      <c r="S200" s="1079"/>
      <c r="T200" s="1079"/>
      <c r="U200" s="481"/>
      <c r="V200" s="1079"/>
      <c r="W200" s="1079"/>
      <c r="X200" s="1079"/>
      <c r="Y200" s="1079"/>
      <c r="Z200" s="1079"/>
      <c r="AA200" s="1551"/>
      <c r="AB200" s="503"/>
      <c r="AC200" s="503"/>
      <c r="AD200" s="503"/>
      <c r="AE200" s="503"/>
      <c r="AF200" s="1560">
        <v>11</v>
      </c>
    </row>
    <row r="201" spans="1:32" s="2269" customFormat="1" ht="11.45" customHeight="1">
      <c r="A201" s="912"/>
      <c r="B201" s="1555"/>
      <c r="C201" s="1555"/>
      <c r="D201" s="288"/>
      <c r="K201" s="1079"/>
      <c r="L201" s="1555"/>
      <c r="M201" s="1555"/>
      <c r="N201" s="1079"/>
      <c r="O201" s="1079"/>
      <c r="P201" s="1079"/>
      <c r="Q201" s="1079"/>
      <c r="R201" s="1555"/>
      <c r="S201" s="1079"/>
      <c r="T201" s="1079"/>
      <c r="U201" s="481"/>
      <c r="V201" s="1079"/>
      <c r="W201" s="1079"/>
      <c r="X201" s="1079"/>
      <c r="Y201" s="1079"/>
      <c r="Z201" s="1079"/>
      <c r="AA201" s="1551"/>
      <c r="AB201" s="503"/>
      <c r="AC201" s="503"/>
      <c r="AD201" s="503"/>
      <c r="AE201" s="503"/>
      <c r="AF201" s="1560">
        <v>11</v>
      </c>
    </row>
    <row r="202" spans="1:32" s="2269" customFormat="1" ht="11.45" customHeight="1">
      <c r="A202" s="912"/>
      <c r="B202" s="1555"/>
      <c r="C202" s="1555"/>
      <c r="D202" s="288"/>
      <c r="K202" s="1079"/>
      <c r="L202" s="1555"/>
      <c r="M202" s="1555"/>
      <c r="N202" s="1079"/>
      <c r="O202" s="1079"/>
      <c r="P202" s="1079"/>
      <c r="Q202" s="1079"/>
      <c r="R202" s="1555"/>
      <c r="S202" s="1079"/>
      <c r="T202" s="1079"/>
      <c r="U202" s="481"/>
      <c r="V202" s="1079"/>
      <c r="W202" s="1079"/>
      <c r="X202" s="1079"/>
      <c r="Y202" s="1079"/>
      <c r="Z202" s="1079"/>
      <c r="AA202" s="1551"/>
      <c r="AB202" s="503"/>
      <c r="AC202" s="503"/>
      <c r="AD202" s="503"/>
      <c r="AE202" s="503"/>
      <c r="AF202" s="1560">
        <v>11</v>
      </c>
    </row>
    <row r="203" spans="1:32" s="2269" customFormat="1" ht="11.45" customHeight="1">
      <c r="A203" s="912"/>
      <c r="B203" s="1555"/>
      <c r="C203" s="1555"/>
      <c r="D203" s="288"/>
      <c r="K203" s="1079"/>
      <c r="L203" s="1555"/>
      <c r="M203" s="1555"/>
      <c r="N203" s="1079"/>
      <c r="O203" s="1079"/>
      <c r="P203" s="1079"/>
      <c r="Q203" s="1079"/>
      <c r="R203" s="1555"/>
      <c r="S203" s="1079"/>
      <c r="T203" s="1079"/>
      <c r="U203" s="481"/>
      <c r="V203" s="1079"/>
      <c r="W203" s="1079"/>
      <c r="X203" s="1079"/>
      <c r="Y203" s="1079"/>
      <c r="Z203" s="1079"/>
      <c r="AA203" s="1551"/>
      <c r="AB203" s="503"/>
      <c r="AC203" s="503"/>
      <c r="AD203" s="503"/>
      <c r="AE203" s="503"/>
      <c r="AF203" s="1560">
        <v>11</v>
      </c>
    </row>
    <row r="204" spans="1:32" s="2269" customFormat="1" ht="11.45" customHeight="1">
      <c r="A204" s="912"/>
      <c r="B204" s="1555"/>
      <c r="C204" s="1555"/>
      <c r="D204" s="288"/>
      <c r="K204" s="1079"/>
      <c r="L204" s="1555"/>
      <c r="M204" s="1555"/>
      <c r="N204" s="1079"/>
      <c r="O204" s="1079"/>
      <c r="P204" s="1079"/>
      <c r="Q204" s="1079"/>
      <c r="R204" s="1555"/>
      <c r="S204" s="1079"/>
      <c r="T204" s="1079"/>
      <c r="U204" s="481"/>
      <c r="V204" s="1079"/>
      <c r="W204" s="1079"/>
      <c r="X204" s="1079"/>
      <c r="Y204" s="1079"/>
      <c r="Z204" s="1079"/>
      <c r="AA204" s="1551"/>
      <c r="AB204" s="503"/>
      <c r="AC204" s="503"/>
      <c r="AD204" s="503"/>
      <c r="AE204" s="503"/>
      <c r="AF204" s="1560">
        <v>11</v>
      </c>
    </row>
    <row r="205" spans="1:32" s="2269" customFormat="1" ht="11.45" customHeight="1">
      <c r="A205" s="912"/>
      <c r="B205" s="1555"/>
      <c r="C205" s="1555"/>
      <c r="D205" s="288"/>
      <c r="K205" s="1079"/>
      <c r="L205" s="1555"/>
      <c r="M205" s="1555"/>
      <c r="N205" s="1079"/>
      <c r="O205" s="1079"/>
      <c r="P205" s="1079"/>
      <c r="Q205" s="1079"/>
      <c r="R205" s="1555"/>
      <c r="S205" s="1079"/>
      <c r="T205" s="1079"/>
      <c r="U205" s="481"/>
      <c r="V205" s="1079"/>
      <c r="W205" s="1079"/>
      <c r="X205" s="1079"/>
      <c r="Y205" s="1079"/>
      <c r="Z205" s="1079"/>
      <c r="AA205" s="1551"/>
      <c r="AB205" s="503"/>
      <c r="AC205" s="503"/>
      <c r="AD205" s="503"/>
      <c r="AE205" s="503"/>
      <c r="AF205" s="1560">
        <v>11</v>
      </c>
    </row>
    <row r="206" spans="1:32" s="2269" customFormat="1" ht="11.45" customHeight="1">
      <c r="A206" s="912"/>
      <c r="B206" s="1555"/>
      <c r="C206" s="1555"/>
      <c r="D206" s="288"/>
      <c r="K206" s="1079"/>
      <c r="L206" s="1555"/>
      <c r="M206" s="1555"/>
      <c r="N206" s="1079"/>
      <c r="O206" s="1079"/>
      <c r="P206" s="1079"/>
      <c r="Q206" s="1079"/>
      <c r="R206" s="1555"/>
      <c r="S206" s="1079"/>
      <c r="T206" s="1079"/>
      <c r="U206" s="481"/>
      <c r="V206" s="1079"/>
      <c r="W206" s="1079"/>
      <c r="X206" s="1079"/>
      <c r="Y206" s="1079"/>
      <c r="Z206" s="1079"/>
      <c r="AA206" s="1551"/>
      <c r="AB206" s="503"/>
      <c r="AC206" s="503"/>
      <c r="AD206" s="503"/>
      <c r="AE206" s="503"/>
      <c r="AF206" s="1560">
        <v>11</v>
      </c>
    </row>
    <row r="207" spans="1:32" s="2269" customFormat="1" ht="11.45" customHeight="1">
      <c r="A207" s="912"/>
      <c r="B207" s="1555"/>
      <c r="C207" s="1555"/>
      <c r="D207" s="288"/>
      <c r="K207" s="1079"/>
      <c r="L207" s="1555"/>
      <c r="M207" s="1555"/>
      <c r="N207" s="1079"/>
      <c r="O207" s="1079"/>
      <c r="P207" s="1079"/>
      <c r="Q207" s="1079"/>
      <c r="R207" s="1555"/>
      <c r="S207" s="1079"/>
      <c r="T207" s="1079"/>
      <c r="U207" s="481"/>
      <c r="V207" s="1079"/>
      <c r="W207" s="1079"/>
      <c r="X207" s="1079"/>
      <c r="Y207" s="1079"/>
      <c r="Z207" s="1079"/>
      <c r="AA207" s="1551"/>
      <c r="AB207" s="503"/>
      <c r="AC207" s="503"/>
      <c r="AD207" s="503"/>
      <c r="AE207" s="503"/>
      <c r="AF207" s="1560">
        <v>11</v>
      </c>
    </row>
    <row r="208" spans="1:32" s="2269" customFormat="1" ht="11.45" customHeight="1">
      <c r="A208" s="912"/>
      <c r="B208" s="1555"/>
      <c r="C208" s="1555"/>
      <c r="D208" s="288"/>
      <c r="K208" s="1079"/>
      <c r="L208" s="1555"/>
      <c r="M208" s="1555"/>
      <c r="N208" s="1079"/>
      <c r="O208" s="1079"/>
      <c r="P208" s="1079"/>
      <c r="Q208" s="1079"/>
      <c r="R208" s="1555"/>
      <c r="S208" s="1079"/>
      <c r="T208" s="1079"/>
      <c r="U208" s="481"/>
      <c r="V208" s="1079"/>
      <c r="W208" s="1079"/>
      <c r="X208" s="1079"/>
      <c r="Y208" s="1079"/>
      <c r="Z208" s="1079"/>
      <c r="AA208" s="1551"/>
      <c r="AB208" s="503"/>
      <c r="AC208" s="503"/>
      <c r="AD208" s="503"/>
      <c r="AE208" s="503"/>
      <c r="AF208" s="1560">
        <v>11</v>
      </c>
    </row>
    <row r="209" spans="1:32" s="2269" customFormat="1" ht="11.45" customHeight="1">
      <c r="A209" s="912"/>
      <c r="B209" s="1555"/>
      <c r="C209" s="1555"/>
      <c r="D209" s="288"/>
      <c r="K209" s="1079"/>
      <c r="L209" s="1555"/>
      <c r="M209" s="1555"/>
      <c r="N209" s="1079"/>
      <c r="O209" s="1079"/>
      <c r="P209" s="1079"/>
      <c r="Q209" s="1079"/>
      <c r="R209" s="1555"/>
      <c r="S209" s="1079"/>
      <c r="T209" s="1079"/>
      <c r="U209" s="481"/>
      <c r="V209" s="1079"/>
      <c r="W209" s="1079"/>
      <c r="X209" s="1079"/>
      <c r="Y209" s="1079"/>
      <c r="Z209" s="1079"/>
      <c r="AA209" s="1551"/>
      <c r="AB209" s="503"/>
      <c r="AC209" s="503"/>
      <c r="AD209" s="503"/>
      <c r="AE209" s="503"/>
      <c r="AF209" s="1560">
        <v>11</v>
      </c>
    </row>
    <row r="210" spans="1:32" s="2269" customFormat="1" ht="11.45" customHeight="1">
      <c r="A210" s="912"/>
      <c r="B210" s="1555"/>
      <c r="C210" s="1555"/>
      <c r="D210" s="288"/>
      <c r="K210" s="1079"/>
      <c r="L210" s="1555"/>
      <c r="M210" s="1555"/>
      <c r="N210" s="1079"/>
      <c r="O210" s="1079"/>
      <c r="P210" s="1079"/>
      <c r="Q210" s="1079"/>
      <c r="R210" s="1555"/>
      <c r="S210" s="1079"/>
      <c r="T210" s="1079"/>
      <c r="U210" s="481"/>
      <c r="V210" s="1079"/>
      <c r="W210" s="1079"/>
      <c r="X210" s="1079"/>
      <c r="Y210" s="1079"/>
      <c r="Z210" s="1079"/>
      <c r="AA210" s="1551"/>
      <c r="AB210" s="503"/>
      <c r="AC210" s="503"/>
      <c r="AD210" s="503"/>
      <c r="AE210" s="503"/>
      <c r="AF210" s="1560">
        <v>11</v>
      </c>
    </row>
    <row r="211" spans="1:32" s="2269" customFormat="1" ht="11.45" customHeight="1">
      <c r="A211" s="912"/>
      <c r="B211" s="1555"/>
      <c r="C211" s="1555"/>
      <c r="D211" s="288"/>
      <c r="K211" s="1079"/>
      <c r="L211" s="1555"/>
      <c r="M211" s="1555"/>
      <c r="N211" s="1079"/>
      <c r="O211" s="1079"/>
      <c r="P211" s="1079"/>
      <c r="Q211" s="1079"/>
      <c r="R211" s="1555"/>
      <c r="S211" s="1079"/>
      <c r="T211" s="1079"/>
      <c r="U211" s="481"/>
      <c r="V211" s="1079"/>
      <c r="W211" s="1079"/>
      <c r="X211" s="1079"/>
      <c r="Y211" s="1079"/>
      <c r="Z211" s="1079"/>
      <c r="AA211" s="1551"/>
      <c r="AB211" s="503"/>
      <c r="AC211" s="503"/>
      <c r="AD211" s="503"/>
      <c r="AE211" s="503"/>
      <c r="AF211" s="1560">
        <v>11</v>
      </c>
    </row>
    <row r="212" spans="1:32" s="2269" customFormat="1" ht="11.45" customHeight="1">
      <c r="A212" s="912"/>
      <c r="B212" s="1555"/>
      <c r="C212" s="1555"/>
      <c r="D212" s="288"/>
      <c r="K212" s="1079"/>
      <c r="L212" s="1555"/>
      <c r="M212" s="1555"/>
      <c r="N212" s="1079"/>
      <c r="O212" s="1079"/>
      <c r="P212" s="1079"/>
      <c r="Q212" s="1079"/>
      <c r="R212" s="1555"/>
      <c r="S212" s="1079"/>
      <c r="T212" s="1079"/>
      <c r="U212" s="481"/>
      <c r="V212" s="1079"/>
      <c r="W212" s="1079"/>
      <c r="X212" s="1079"/>
      <c r="Y212" s="1079"/>
      <c r="Z212" s="1079"/>
      <c r="AA212" s="1551"/>
      <c r="AB212" s="503"/>
      <c r="AC212" s="503"/>
      <c r="AD212" s="503"/>
      <c r="AE212" s="503"/>
      <c r="AF212" s="1560">
        <v>11</v>
      </c>
    </row>
    <row r="213" spans="1:32" s="2269" customFormat="1" ht="11.45" customHeight="1">
      <c r="A213" s="912"/>
      <c r="B213" s="1555"/>
      <c r="C213" s="1555"/>
      <c r="D213" s="288"/>
      <c r="K213" s="1079"/>
      <c r="L213" s="1555"/>
      <c r="M213" s="1555"/>
      <c r="N213" s="1079"/>
      <c r="O213" s="1079"/>
      <c r="P213" s="1079"/>
      <c r="Q213" s="1079"/>
      <c r="R213" s="1555"/>
      <c r="S213" s="1079"/>
      <c r="T213" s="1079"/>
      <c r="U213" s="481"/>
      <c r="V213" s="1079"/>
      <c r="W213" s="1079"/>
      <c r="X213" s="1079"/>
      <c r="Y213" s="1079"/>
      <c r="Z213" s="1079"/>
      <c r="AA213" s="1551"/>
      <c r="AB213" s="503"/>
      <c r="AC213" s="503"/>
      <c r="AD213" s="503"/>
      <c r="AE213" s="503"/>
      <c r="AF213" s="1560">
        <v>11</v>
      </c>
    </row>
    <row r="214" spans="1:32" s="2269" customFormat="1" ht="11.45" customHeight="1">
      <c r="A214" s="912"/>
      <c r="B214" s="1555"/>
      <c r="C214" s="1555"/>
      <c r="D214" s="288"/>
      <c r="K214" s="1079"/>
      <c r="L214" s="1555"/>
      <c r="M214" s="1555"/>
      <c r="N214" s="1079"/>
      <c r="O214" s="1079"/>
      <c r="P214" s="1079"/>
      <c r="Q214" s="1079"/>
      <c r="R214" s="1555"/>
      <c r="S214" s="1079"/>
      <c r="T214" s="1079"/>
      <c r="U214" s="481"/>
      <c r="V214" s="1079"/>
      <c r="W214" s="1079"/>
      <c r="X214" s="1079"/>
      <c r="Y214" s="1079"/>
      <c r="Z214" s="1079"/>
      <c r="AA214" s="1551"/>
      <c r="AB214" s="503"/>
      <c r="AC214" s="503"/>
      <c r="AD214" s="503"/>
      <c r="AE214" s="503"/>
      <c r="AF214" s="1560">
        <v>11</v>
      </c>
    </row>
    <row r="215" spans="1:32" s="2269" customFormat="1" ht="11.45" customHeight="1">
      <c r="A215" s="912"/>
      <c r="B215" s="1555"/>
      <c r="C215" s="1555"/>
      <c r="D215" s="288"/>
      <c r="K215" s="1079"/>
      <c r="L215" s="1555"/>
      <c r="M215" s="1555"/>
      <c r="N215" s="1079"/>
      <c r="O215" s="1079"/>
      <c r="P215" s="1079"/>
      <c r="Q215" s="1079"/>
      <c r="R215" s="1555"/>
      <c r="S215" s="1079"/>
      <c r="T215" s="1079"/>
      <c r="U215" s="481"/>
      <c r="V215" s="1079"/>
      <c r="W215" s="1079"/>
      <c r="X215" s="1079"/>
      <c r="Y215" s="1079"/>
      <c r="Z215" s="1079"/>
      <c r="AA215" s="1551"/>
      <c r="AB215" s="503"/>
      <c r="AC215" s="503"/>
      <c r="AD215" s="503"/>
      <c r="AE215" s="503"/>
      <c r="AF215" s="1560">
        <v>11</v>
      </c>
    </row>
    <row r="216" spans="1:32" s="2269" customFormat="1" ht="11.45" customHeight="1">
      <c r="A216" s="912"/>
      <c r="B216" s="1555"/>
      <c r="C216" s="1555"/>
      <c r="D216" s="288"/>
      <c r="K216" s="1079"/>
      <c r="L216" s="1555"/>
      <c r="M216" s="1555"/>
      <c r="N216" s="1079"/>
      <c r="O216" s="1079"/>
      <c r="P216" s="1079"/>
      <c r="Q216" s="1079"/>
      <c r="R216" s="1555"/>
      <c r="S216" s="1079"/>
      <c r="T216" s="1079"/>
      <c r="U216" s="481"/>
      <c r="V216" s="1079"/>
      <c r="W216" s="1079"/>
      <c r="X216" s="1079"/>
      <c r="Y216" s="1079"/>
      <c r="Z216" s="1079"/>
      <c r="AA216" s="1551"/>
      <c r="AB216" s="503"/>
      <c r="AC216" s="503"/>
      <c r="AD216" s="503"/>
      <c r="AE216" s="503"/>
      <c r="AF216" s="1560">
        <v>11</v>
      </c>
    </row>
    <row r="217" spans="1:32" s="2269" customFormat="1" ht="11.45" customHeight="1">
      <c r="A217" s="912"/>
      <c r="B217" s="1555"/>
      <c r="C217" s="1555"/>
      <c r="D217" s="288"/>
      <c r="K217" s="1079"/>
      <c r="L217" s="1555"/>
      <c r="M217" s="1555"/>
      <c r="N217" s="1079"/>
      <c r="O217" s="1079"/>
      <c r="P217" s="1079"/>
      <c r="Q217" s="1079"/>
      <c r="R217" s="1555"/>
      <c r="S217" s="1079"/>
      <c r="T217" s="1079"/>
      <c r="U217" s="481"/>
      <c r="V217" s="1079"/>
      <c r="W217" s="1079"/>
      <c r="X217" s="1079"/>
      <c r="Y217" s="1079"/>
      <c r="Z217" s="1079"/>
      <c r="AA217" s="1551"/>
      <c r="AB217" s="503"/>
      <c r="AC217" s="503"/>
      <c r="AD217" s="503"/>
      <c r="AE217" s="503"/>
      <c r="AF217" s="1560">
        <v>11</v>
      </c>
    </row>
    <row r="218" spans="1:32" s="2269" customFormat="1" ht="11.45" customHeight="1">
      <c r="A218" s="912"/>
      <c r="B218" s="1555"/>
      <c r="C218" s="1555"/>
      <c r="D218" s="288"/>
      <c r="K218" s="1079"/>
      <c r="L218" s="1555"/>
      <c r="M218" s="1555"/>
      <c r="N218" s="1079"/>
      <c r="O218" s="1079"/>
      <c r="P218" s="1079"/>
      <c r="Q218" s="1079"/>
      <c r="R218" s="1555"/>
      <c r="S218" s="1079"/>
      <c r="T218" s="1079"/>
      <c r="U218" s="481"/>
      <c r="V218" s="1079"/>
      <c r="W218" s="1079"/>
      <c r="X218" s="1079"/>
      <c r="Y218" s="1079"/>
      <c r="Z218" s="1079"/>
      <c r="AA218" s="1551"/>
      <c r="AB218" s="503"/>
      <c r="AC218" s="503"/>
      <c r="AD218" s="503"/>
      <c r="AE218" s="503"/>
      <c r="AF218" s="1560">
        <v>11</v>
      </c>
    </row>
    <row r="219" spans="1:32" s="2269" customFormat="1" ht="11.45" customHeight="1">
      <c r="A219" s="912"/>
      <c r="B219" s="1555"/>
      <c r="C219" s="1555"/>
      <c r="D219" s="288"/>
      <c r="K219" s="1079"/>
      <c r="L219" s="1555"/>
      <c r="M219" s="1555"/>
      <c r="N219" s="1079"/>
      <c r="O219" s="1079"/>
      <c r="P219" s="1079"/>
      <c r="Q219" s="1079"/>
      <c r="R219" s="1555"/>
      <c r="S219" s="1079"/>
      <c r="T219" s="1079"/>
      <c r="U219" s="481"/>
      <c r="V219" s="1079"/>
      <c r="W219" s="1079"/>
      <c r="X219" s="1079"/>
      <c r="Y219" s="1079"/>
      <c r="Z219" s="1079"/>
      <c r="AA219" s="1551"/>
      <c r="AB219" s="503"/>
      <c r="AC219" s="503"/>
      <c r="AD219" s="503"/>
      <c r="AE219" s="503"/>
      <c r="AF219" s="1560">
        <v>11</v>
      </c>
    </row>
    <row r="220" spans="1:32" s="2269" customFormat="1" ht="11.45" customHeight="1">
      <c r="A220" s="912"/>
      <c r="B220" s="1555"/>
      <c r="C220" s="1555"/>
      <c r="D220" s="288"/>
      <c r="K220" s="1079"/>
      <c r="L220" s="1555"/>
      <c r="M220" s="1555"/>
      <c r="N220" s="1079"/>
      <c r="O220" s="1079"/>
      <c r="P220" s="1079"/>
      <c r="Q220" s="1079"/>
      <c r="R220" s="1555"/>
      <c r="S220" s="1079"/>
      <c r="T220" s="1079"/>
      <c r="U220" s="481"/>
      <c r="V220" s="1079"/>
      <c r="W220" s="1079"/>
      <c r="X220" s="1079"/>
      <c r="Y220" s="1079"/>
      <c r="Z220" s="1079"/>
      <c r="AA220" s="1551"/>
      <c r="AB220" s="503"/>
      <c r="AC220" s="503"/>
      <c r="AD220" s="503"/>
      <c r="AE220" s="503"/>
      <c r="AF220" s="1560">
        <v>11</v>
      </c>
    </row>
    <row r="221" spans="1:32" s="2269" customFormat="1" ht="11.45" customHeight="1">
      <c r="A221" s="912"/>
      <c r="B221" s="1555"/>
      <c r="C221" s="1555"/>
      <c r="D221" s="288"/>
      <c r="K221" s="1079"/>
      <c r="L221" s="1555"/>
      <c r="M221" s="1555"/>
      <c r="N221" s="1079"/>
      <c r="O221" s="1079"/>
      <c r="P221" s="1079"/>
      <c r="Q221" s="1079"/>
      <c r="R221" s="1555"/>
      <c r="S221" s="1079"/>
      <c r="T221" s="1079"/>
      <c r="U221" s="481"/>
      <c r="V221" s="1079"/>
      <c r="W221" s="1079"/>
      <c r="X221" s="1079"/>
      <c r="Y221" s="1079"/>
      <c r="Z221" s="1079"/>
      <c r="AA221" s="1551"/>
      <c r="AB221" s="503"/>
      <c r="AC221" s="503"/>
      <c r="AD221" s="503"/>
      <c r="AE221" s="503"/>
      <c r="AF221" s="1560">
        <v>11</v>
      </c>
    </row>
    <row r="222" spans="1:32" s="2269" customFormat="1" ht="11.45" customHeight="1">
      <c r="A222" s="912"/>
      <c r="B222" s="1555"/>
      <c r="C222" s="1555"/>
      <c r="D222" s="288"/>
      <c r="K222" s="1079"/>
      <c r="L222" s="1555"/>
      <c r="M222" s="1555"/>
      <c r="N222" s="1079"/>
      <c r="O222" s="1079"/>
      <c r="P222" s="1079"/>
      <c r="Q222" s="1079"/>
      <c r="R222" s="1555"/>
      <c r="S222" s="1079"/>
      <c r="T222" s="1079"/>
      <c r="U222" s="481"/>
      <c r="V222" s="1079"/>
      <c r="W222" s="1079"/>
      <c r="X222" s="1079"/>
      <c r="Y222" s="1079"/>
      <c r="Z222" s="1079"/>
      <c r="AA222" s="1551"/>
      <c r="AB222" s="503"/>
      <c r="AC222" s="503"/>
      <c r="AD222" s="503"/>
      <c r="AE222" s="503"/>
      <c r="AF222" s="1560">
        <v>11</v>
      </c>
    </row>
    <row r="223" spans="1:32" s="2269" customFormat="1" ht="11.45" customHeight="1">
      <c r="A223" s="912"/>
      <c r="B223" s="1555"/>
      <c r="C223" s="1555"/>
      <c r="D223" s="288"/>
      <c r="K223" s="1079"/>
      <c r="L223" s="1555"/>
      <c r="M223" s="1555"/>
      <c r="N223" s="1079"/>
      <c r="O223" s="1079"/>
      <c r="P223" s="1079"/>
      <c r="Q223" s="1079"/>
      <c r="R223" s="1555"/>
      <c r="S223" s="1079"/>
      <c r="T223" s="1079"/>
      <c r="U223" s="481"/>
      <c r="V223" s="1079"/>
      <c r="W223" s="1079"/>
      <c r="X223" s="1079"/>
      <c r="Y223" s="1079"/>
      <c r="Z223" s="1079"/>
      <c r="AA223" s="1551"/>
      <c r="AB223" s="503"/>
      <c r="AC223" s="503"/>
      <c r="AD223" s="503"/>
      <c r="AE223" s="503"/>
      <c r="AF223" s="1560">
        <v>11</v>
      </c>
    </row>
    <row r="224" spans="1:32" s="2269" customFormat="1" ht="11.45" customHeight="1">
      <c r="A224" s="912"/>
      <c r="B224" s="1555"/>
      <c r="C224" s="1555"/>
      <c r="D224" s="288"/>
      <c r="K224" s="1079"/>
      <c r="L224" s="1555"/>
      <c r="M224" s="1555"/>
      <c r="N224" s="1079"/>
      <c r="O224" s="1079"/>
      <c r="P224" s="1079"/>
      <c r="Q224" s="1079"/>
      <c r="R224" s="1555"/>
      <c r="S224" s="1079"/>
      <c r="T224" s="1079"/>
      <c r="U224" s="481"/>
      <c r="V224" s="1079"/>
      <c r="W224" s="1079"/>
      <c r="X224" s="1079"/>
      <c r="Y224" s="1079"/>
      <c r="Z224" s="1079"/>
      <c r="AA224" s="1551"/>
      <c r="AB224" s="503"/>
      <c r="AC224" s="503"/>
      <c r="AD224" s="503"/>
      <c r="AE224" s="503"/>
      <c r="AF224" s="1560">
        <v>11</v>
      </c>
    </row>
    <row r="225" spans="1:32" s="2269" customFormat="1" ht="11.45" customHeight="1">
      <c r="A225" s="912"/>
      <c r="B225" s="1555"/>
      <c r="C225" s="1555"/>
      <c r="D225" s="288"/>
      <c r="K225" s="1079"/>
      <c r="L225" s="1555"/>
      <c r="M225" s="1555"/>
      <c r="N225" s="1079"/>
      <c r="O225" s="1079"/>
      <c r="P225" s="1079"/>
      <c r="Q225" s="1079"/>
      <c r="R225" s="1555"/>
      <c r="S225" s="1079"/>
      <c r="T225" s="1079"/>
      <c r="U225" s="481"/>
      <c r="V225" s="1079"/>
      <c r="W225" s="1079"/>
      <c r="X225" s="1079"/>
      <c r="Y225" s="1079"/>
      <c r="Z225" s="1079"/>
      <c r="AA225" s="1551"/>
      <c r="AB225" s="503"/>
      <c r="AC225" s="503"/>
      <c r="AD225" s="503"/>
      <c r="AE225" s="503"/>
      <c r="AF225" s="1560">
        <v>11</v>
      </c>
    </row>
    <row r="226" spans="1:32" s="2269" customFormat="1" ht="11.45" customHeight="1">
      <c r="A226" s="912"/>
      <c r="B226" s="1555"/>
      <c r="C226" s="1555"/>
      <c r="D226" s="288"/>
      <c r="K226" s="1079"/>
      <c r="L226" s="1555"/>
      <c r="M226" s="1555"/>
      <c r="N226" s="1079"/>
      <c r="O226" s="1079"/>
      <c r="P226" s="1079"/>
      <c r="Q226" s="1079"/>
      <c r="R226" s="1555"/>
      <c r="S226" s="1079"/>
      <c r="T226" s="1079"/>
      <c r="U226" s="481"/>
      <c r="V226" s="1079"/>
      <c r="W226" s="1079"/>
      <c r="X226" s="1079"/>
      <c r="Y226" s="1079"/>
      <c r="Z226" s="1079"/>
      <c r="AA226" s="1551"/>
      <c r="AB226" s="503"/>
      <c r="AC226" s="503"/>
      <c r="AD226" s="503"/>
      <c r="AE226" s="503"/>
      <c r="AF226" s="1560">
        <v>11</v>
      </c>
    </row>
    <row r="227" spans="1:32" s="2269" customFormat="1" ht="11.45" customHeight="1">
      <c r="A227" s="912"/>
      <c r="B227" s="1555"/>
      <c r="C227" s="1555"/>
      <c r="D227" s="288"/>
      <c r="K227" s="1079"/>
      <c r="L227" s="1555"/>
      <c r="M227" s="1555"/>
      <c r="N227" s="1079"/>
      <c r="O227" s="1079"/>
      <c r="P227" s="1079"/>
      <c r="Q227" s="1079"/>
      <c r="R227" s="1555"/>
      <c r="S227" s="1079"/>
      <c r="T227" s="1079"/>
      <c r="U227" s="481"/>
      <c r="V227" s="1079"/>
      <c r="W227" s="1079"/>
      <c r="X227" s="1079"/>
      <c r="Y227" s="1079"/>
      <c r="Z227" s="1079"/>
      <c r="AA227" s="1551"/>
      <c r="AB227" s="503"/>
      <c r="AC227" s="503"/>
      <c r="AD227" s="503"/>
      <c r="AE227" s="503"/>
      <c r="AF227" s="1560">
        <v>11</v>
      </c>
    </row>
    <row r="228" spans="1:32" s="2269" customFormat="1" ht="11.45" customHeight="1">
      <c r="A228" s="912"/>
      <c r="B228" s="1555"/>
      <c r="C228" s="1555"/>
      <c r="D228" s="288"/>
      <c r="K228" s="1079"/>
      <c r="L228" s="1555"/>
      <c r="M228" s="1555"/>
      <c r="N228" s="1079"/>
      <c r="O228" s="1079"/>
      <c r="P228" s="1079"/>
      <c r="Q228" s="1079"/>
      <c r="R228" s="1555"/>
      <c r="S228" s="1079"/>
      <c r="T228" s="1079"/>
      <c r="U228" s="481"/>
      <c r="V228" s="1079"/>
      <c r="W228" s="1079"/>
      <c r="X228" s="1079"/>
      <c r="Y228" s="1079"/>
      <c r="Z228" s="1079"/>
      <c r="AA228" s="1551"/>
      <c r="AB228" s="503"/>
      <c r="AC228" s="503"/>
      <c r="AD228" s="503"/>
      <c r="AE228" s="503"/>
      <c r="AF228" s="1560">
        <v>11</v>
      </c>
    </row>
    <row r="229" spans="1:32" s="2269" customFormat="1" ht="11.45" customHeight="1">
      <c r="A229" s="912"/>
      <c r="B229" s="1555"/>
      <c r="C229" s="1555"/>
      <c r="D229" s="288"/>
      <c r="K229" s="1079"/>
      <c r="L229" s="1555"/>
      <c r="M229" s="1555"/>
      <c r="N229" s="1079"/>
      <c r="O229" s="1079"/>
      <c r="P229" s="1079"/>
      <c r="Q229" s="1079"/>
      <c r="R229" s="1555"/>
      <c r="S229" s="1079"/>
      <c r="T229" s="1079"/>
      <c r="U229" s="481"/>
      <c r="V229" s="1079"/>
      <c r="W229" s="1079"/>
      <c r="X229" s="1079"/>
      <c r="Y229" s="1079"/>
      <c r="Z229" s="1079"/>
      <c r="AA229" s="1551"/>
      <c r="AB229" s="503"/>
      <c r="AC229" s="503"/>
      <c r="AD229" s="503"/>
      <c r="AE229" s="503"/>
      <c r="AF229" s="1560">
        <v>11</v>
      </c>
    </row>
    <row r="230" spans="1:32" s="2269" customFormat="1" ht="11.45" customHeight="1">
      <c r="A230" s="912"/>
      <c r="B230" s="1555"/>
      <c r="C230" s="1555"/>
      <c r="D230" s="288"/>
      <c r="K230" s="1079"/>
      <c r="L230" s="1555"/>
      <c r="M230" s="1555"/>
      <c r="N230" s="1079"/>
      <c r="O230" s="1079"/>
      <c r="P230" s="1079"/>
      <c r="Q230" s="1079"/>
      <c r="R230" s="1555"/>
      <c r="S230" s="1079"/>
      <c r="T230" s="1079"/>
      <c r="U230" s="481"/>
      <c r="V230" s="1079"/>
      <c r="W230" s="1079"/>
      <c r="X230" s="1079"/>
      <c r="Y230" s="1079"/>
      <c r="Z230" s="1079"/>
      <c r="AA230" s="1551"/>
      <c r="AB230" s="503"/>
      <c r="AC230" s="503"/>
      <c r="AD230" s="503"/>
      <c r="AE230" s="503"/>
      <c r="AF230" s="1560">
        <v>11</v>
      </c>
    </row>
    <row r="231" spans="1:32" s="2269" customFormat="1" ht="11.45" customHeight="1">
      <c r="A231" s="912"/>
      <c r="B231" s="1555"/>
      <c r="C231" s="1555"/>
      <c r="D231" s="288"/>
      <c r="K231" s="1079"/>
      <c r="L231" s="1555"/>
      <c r="M231" s="1555"/>
      <c r="N231" s="1079"/>
      <c r="O231" s="1079"/>
      <c r="P231" s="1079"/>
      <c r="Q231" s="1079"/>
      <c r="R231" s="1555"/>
      <c r="S231" s="1079"/>
      <c r="T231" s="1079"/>
      <c r="U231" s="481"/>
      <c r="V231" s="1079"/>
      <c r="W231" s="1079"/>
      <c r="X231" s="1079"/>
      <c r="Y231" s="1079"/>
      <c r="Z231" s="1079"/>
      <c r="AA231" s="1551"/>
      <c r="AB231" s="503"/>
      <c r="AC231" s="503"/>
      <c r="AD231" s="503"/>
      <c r="AE231" s="503"/>
      <c r="AF231" s="1560">
        <v>11</v>
      </c>
    </row>
    <row r="232" spans="1:32" s="2269" customFormat="1" ht="11.45" customHeight="1">
      <c r="A232" s="912"/>
      <c r="B232" s="1555"/>
      <c r="C232" s="1555"/>
      <c r="D232" s="288"/>
      <c r="K232" s="1079"/>
      <c r="L232" s="1555"/>
      <c r="M232" s="1555"/>
      <c r="N232" s="1079"/>
      <c r="O232" s="1079"/>
      <c r="P232" s="1079"/>
      <c r="Q232" s="1079"/>
      <c r="R232" s="1555"/>
      <c r="S232" s="1079"/>
      <c r="T232" s="1079"/>
      <c r="U232" s="481"/>
      <c r="V232" s="1079"/>
      <c r="W232" s="1079"/>
      <c r="X232" s="1079"/>
      <c r="Y232" s="1079"/>
      <c r="Z232" s="1079"/>
      <c r="AA232" s="1551"/>
      <c r="AB232" s="503"/>
      <c r="AC232" s="503"/>
      <c r="AD232" s="503"/>
      <c r="AE232" s="503"/>
      <c r="AF232" s="1560">
        <v>11</v>
      </c>
    </row>
    <row r="233" spans="1:32" s="2269" customFormat="1" ht="11.45" customHeight="1">
      <c r="A233" s="912"/>
      <c r="B233" s="1555"/>
      <c r="C233" s="1555"/>
      <c r="D233" s="288"/>
      <c r="K233" s="1079"/>
      <c r="L233" s="1555"/>
      <c r="M233" s="1555"/>
      <c r="N233" s="1079"/>
      <c r="O233" s="1079"/>
      <c r="P233" s="1079"/>
      <c r="Q233" s="1079"/>
      <c r="R233" s="1555"/>
      <c r="S233" s="1079"/>
      <c r="T233" s="1079"/>
      <c r="U233" s="481"/>
      <c r="V233" s="1079"/>
      <c r="W233" s="1079"/>
      <c r="X233" s="1079"/>
      <c r="Y233" s="1079"/>
      <c r="Z233" s="1079"/>
      <c r="AA233" s="1551"/>
      <c r="AB233" s="503"/>
      <c r="AC233" s="503"/>
      <c r="AD233" s="503"/>
      <c r="AE233" s="503"/>
      <c r="AF233" s="1560">
        <v>11</v>
      </c>
    </row>
    <row r="234" spans="1:32" s="2269" customFormat="1" ht="11.45" customHeight="1">
      <c r="A234" s="912"/>
      <c r="B234" s="1555"/>
      <c r="C234" s="1555"/>
      <c r="D234" s="288"/>
      <c r="K234" s="1079"/>
      <c r="L234" s="1555"/>
      <c r="M234" s="1555"/>
      <c r="N234" s="1079"/>
      <c r="O234" s="1079"/>
      <c r="P234" s="1079"/>
      <c r="Q234" s="1079"/>
      <c r="R234" s="1555"/>
      <c r="S234" s="1079"/>
      <c r="T234" s="1079"/>
      <c r="U234" s="481"/>
      <c r="V234" s="1079"/>
      <c r="W234" s="1079"/>
      <c r="X234" s="1079"/>
      <c r="Y234" s="1079"/>
      <c r="Z234" s="1079"/>
      <c r="AA234" s="1551"/>
      <c r="AB234" s="503"/>
      <c r="AC234" s="503"/>
      <c r="AD234" s="503"/>
      <c r="AE234" s="503"/>
      <c r="AF234" s="1560">
        <v>11</v>
      </c>
    </row>
    <row r="235" spans="1:32" s="2269" customFormat="1" ht="11.45" customHeight="1">
      <c r="A235" s="912"/>
      <c r="B235" s="1555"/>
      <c r="C235" s="1555"/>
      <c r="D235" s="288"/>
      <c r="K235" s="1079"/>
      <c r="L235" s="1555"/>
      <c r="M235" s="1555"/>
      <c r="N235" s="1079"/>
      <c r="O235" s="1079"/>
      <c r="P235" s="1079"/>
      <c r="Q235" s="1079"/>
      <c r="R235" s="1555"/>
      <c r="S235" s="1079"/>
      <c r="T235" s="1079"/>
      <c r="U235" s="481"/>
      <c r="V235" s="1079"/>
      <c r="W235" s="1079"/>
      <c r="X235" s="1079"/>
      <c r="Y235" s="1079"/>
      <c r="Z235" s="1079"/>
      <c r="AA235" s="1551"/>
      <c r="AB235" s="503"/>
      <c r="AC235" s="503"/>
      <c r="AD235" s="503"/>
      <c r="AE235" s="503"/>
      <c r="AF235" s="1560">
        <v>11</v>
      </c>
    </row>
    <row r="236" spans="1:32" s="2269" customFormat="1" ht="11.45" customHeight="1">
      <c r="A236" s="912"/>
      <c r="B236" s="1555"/>
      <c r="C236" s="1555"/>
      <c r="D236" s="288"/>
      <c r="K236" s="1079"/>
      <c r="L236" s="1555"/>
      <c r="M236" s="1555"/>
      <c r="N236" s="1079"/>
      <c r="O236" s="1079"/>
      <c r="P236" s="1079"/>
      <c r="Q236" s="1079"/>
      <c r="R236" s="1555"/>
      <c r="S236" s="1079"/>
      <c r="T236" s="1079"/>
      <c r="U236" s="481"/>
      <c r="V236" s="1079"/>
      <c r="W236" s="1079"/>
      <c r="X236" s="1079"/>
      <c r="Y236" s="1079"/>
      <c r="Z236" s="1079"/>
      <c r="AA236" s="1551"/>
      <c r="AB236" s="503"/>
      <c r="AC236" s="503"/>
      <c r="AD236" s="503"/>
      <c r="AE236" s="503"/>
      <c r="AF236" s="1560">
        <v>11</v>
      </c>
    </row>
    <row r="237" spans="1:32" s="2269" customFormat="1" ht="11.45" customHeight="1">
      <c r="A237" s="912"/>
      <c r="B237" s="1555"/>
      <c r="C237" s="1555"/>
      <c r="D237" s="288"/>
      <c r="K237" s="1079"/>
      <c r="L237" s="1555"/>
      <c r="M237" s="1555"/>
      <c r="N237" s="1079"/>
      <c r="O237" s="1079"/>
      <c r="P237" s="1079"/>
      <c r="Q237" s="1079"/>
      <c r="R237" s="1555"/>
      <c r="S237" s="1079"/>
      <c r="T237" s="1079"/>
      <c r="U237" s="481"/>
      <c r="V237" s="1079"/>
      <c r="W237" s="1079"/>
      <c r="X237" s="1079"/>
      <c r="Y237" s="1079"/>
      <c r="Z237" s="1079"/>
      <c r="AA237" s="1551"/>
      <c r="AB237" s="503"/>
      <c r="AC237" s="503"/>
      <c r="AD237" s="503"/>
      <c r="AE237" s="503"/>
      <c r="AF237" s="1560">
        <v>11</v>
      </c>
    </row>
    <row r="238" spans="1:32" s="2269" customFormat="1" ht="11.45" customHeight="1">
      <c r="A238" s="912"/>
      <c r="B238" s="1555"/>
      <c r="C238" s="1555"/>
      <c r="D238" s="288"/>
      <c r="K238" s="1079"/>
      <c r="L238" s="1555"/>
      <c r="M238" s="1555"/>
      <c r="N238" s="1079"/>
      <c r="O238" s="1079"/>
      <c r="P238" s="1079"/>
      <c r="Q238" s="1079"/>
      <c r="R238" s="1555"/>
      <c r="S238" s="1079"/>
      <c r="T238" s="1079"/>
      <c r="U238" s="481"/>
      <c r="V238" s="1079"/>
      <c r="W238" s="1079"/>
      <c r="X238" s="1079"/>
      <c r="Y238" s="1079"/>
      <c r="Z238" s="1079"/>
      <c r="AA238" s="1551"/>
      <c r="AB238" s="503"/>
      <c r="AC238" s="503"/>
      <c r="AD238" s="503"/>
      <c r="AE238" s="503"/>
      <c r="AF238" s="1560">
        <v>11</v>
      </c>
    </row>
    <row r="239" spans="1:32" s="2269" customFormat="1" ht="11.45" customHeight="1">
      <c r="A239" s="912"/>
      <c r="B239" s="1555"/>
      <c r="C239" s="1555"/>
      <c r="D239" s="288"/>
      <c r="K239" s="1079"/>
      <c r="L239" s="1555"/>
      <c r="M239" s="1555"/>
      <c r="N239" s="1079"/>
      <c r="O239" s="1079"/>
      <c r="P239" s="1079"/>
      <c r="Q239" s="1079"/>
      <c r="R239" s="1555"/>
      <c r="S239" s="1079"/>
      <c r="T239" s="1079"/>
      <c r="U239" s="481"/>
      <c r="V239" s="1079"/>
      <c r="W239" s="1079"/>
      <c r="X239" s="1079"/>
      <c r="Y239" s="1079"/>
      <c r="Z239" s="1079"/>
      <c r="AA239" s="1551"/>
      <c r="AB239" s="503"/>
      <c r="AC239" s="503"/>
      <c r="AD239" s="503"/>
      <c r="AE239" s="503"/>
      <c r="AF239" s="1560">
        <v>11</v>
      </c>
    </row>
    <row r="240" spans="1:32" s="2269" customFormat="1" ht="11.45" customHeight="1">
      <c r="A240" s="912"/>
      <c r="B240" s="1555"/>
      <c r="C240" s="1555"/>
      <c r="D240" s="288"/>
      <c r="K240" s="1079"/>
      <c r="L240" s="1555"/>
      <c r="M240" s="1555"/>
      <c r="N240" s="1079"/>
      <c r="O240" s="1079"/>
      <c r="P240" s="1079"/>
      <c r="Q240" s="1079"/>
      <c r="R240" s="1555"/>
      <c r="S240" s="1079"/>
      <c r="T240" s="1079"/>
      <c r="U240" s="481"/>
      <c r="V240" s="1079"/>
      <c r="W240" s="1079"/>
      <c r="X240" s="1079"/>
      <c r="Y240" s="1079"/>
      <c r="Z240" s="1079"/>
      <c r="AA240" s="1551"/>
      <c r="AB240" s="503"/>
      <c r="AC240" s="503"/>
      <c r="AD240" s="503"/>
      <c r="AE240" s="503"/>
      <c r="AF240" s="1560">
        <v>11</v>
      </c>
    </row>
    <row r="241" spans="1:32" s="2269" customFormat="1" ht="11.45" customHeight="1">
      <c r="A241" s="912"/>
      <c r="B241" s="1555"/>
      <c r="C241" s="1555"/>
      <c r="D241" s="288"/>
      <c r="K241" s="1079"/>
      <c r="L241" s="1555"/>
      <c r="M241" s="1555"/>
      <c r="N241" s="1079"/>
      <c r="O241" s="1079"/>
      <c r="P241" s="1079"/>
      <c r="Q241" s="1079"/>
      <c r="R241" s="1555"/>
      <c r="S241" s="1079"/>
      <c r="T241" s="1079"/>
      <c r="U241" s="481"/>
      <c r="V241" s="1079"/>
      <c r="W241" s="1079"/>
      <c r="X241" s="1079"/>
      <c r="Y241" s="1079"/>
      <c r="Z241" s="1079"/>
      <c r="AA241" s="1551"/>
      <c r="AB241" s="503"/>
      <c r="AC241" s="503"/>
      <c r="AD241" s="503"/>
      <c r="AE241" s="503"/>
      <c r="AF241" s="1560">
        <v>11</v>
      </c>
    </row>
    <row r="242" spans="1:32" s="2269" customFormat="1" ht="11.45" customHeight="1">
      <c r="A242" s="912"/>
      <c r="B242" s="1555"/>
      <c r="C242" s="1555"/>
      <c r="D242" s="288"/>
      <c r="K242" s="1079"/>
      <c r="L242" s="1555"/>
      <c r="M242" s="1555"/>
      <c r="N242" s="1079"/>
      <c r="O242" s="1079"/>
      <c r="P242" s="1079"/>
      <c r="Q242" s="1079"/>
      <c r="R242" s="1555"/>
      <c r="S242" s="1079"/>
      <c r="T242" s="1079"/>
      <c r="U242" s="481"/>
      <c r="V242" s="1079"/>
      <c r="W242" s="1079"/>
      <c r="X242" s="1079"/>
      <c r="Y242" s="1079"/>
      <c r="Z242" s="1079"/>
      <c r="AA242" s="1551"/>
      <c r="AB242" s="503"/>
      <c r="AC242" s="503"/>
      <c r="AD242" s="503"/>
      <c r="AE242" s="503"/>
      <c r="AF242" s="1560">
        <v>11</v>
      </c>
    </row>
    <row r="243" spans="1:32" s="2269" customFormat="1" ht="11.45" customHeight="1">
      <c r="A243" s="912"/>
      <c r="B243" s="1555"/>
      <c r="C243" s="1555"/>
      <c r="D243" s="288"/>
      <c r="K243" s="1079"/>
      <c r="L243" s="1555"/>
      <c r="M243" s="1555"/>
      <c r="N243" s="1079"/>
      <c r="O243" s="1079"/>
      <c r="P243" s="1079"/>
      <c r="Q243" s="1079"/>
      <c r="R243" s="1555"/>
      <c r="S243" s="1079"/>
      <c r="T243" s="1079"/>
      <c r="U243" s="481"/>
      <c r="V243" s="1079"/>
      <c r="W243" s="1079"/>
      <c r="X243" s="1079"/>
      <c r="Y243" s="1079"/>
      <c r="Z243" s="1079"/>
      <c r="AA243" s="1551"/>
      <c r="AB243" s="503"/>
      <c r="AC243" s="503"/>
      <c r="AD243" s="503"/>
      <c r="AE243" s="503"/>
      <c r="AF243" s="1560">
        <v>11</v>
      </c>
    </row>
    <row r="244" spans="1:32" s="2269" customFormat="1" ht="11.45" customHeight="1">
      <c r="A244" s="912"/>
      <c r="B244" s="1555"/>
      <c r="C244" s="1555"/>
      <c r="D244" s="288"/>
      <c r="K244" s="1079"/>
      <c r="L244" s="1555"/>
      <c r="M244" s="1555"/>
      <c r="N244" s="1079"/>
      <c r="O244" s="1079"/>
      <c r="P244" s="1079"/>
      <c r="Q244" s="1079"/>
      <c r="R244" s="1555"/>
      <c r="S244" s="1079"/>
      <c r="T244" s="1079"/>
      <c r="U244" s="481"/>
      <c r="V244" s="1079"/>
      <c r="W244" s="1079"/>
      <c r="X244" s="1079"/>
      <c r="Y244" s="1079"/>
      <c r="Z244" s="1079"/>
      <c r="AA244" s="1551"/>
      <c r="AB244" s="503"/>
      <c r="AC244" s="503"/>
      <c r="AD244" s="503"/>
      <c r="AE244" s="503"/>
      <c r="AF244" s="1560">
        <v>11</v>
      </c>
    </row>
    <row r="245" spans="1:32" s="2269" customFormat="1" ht="11.45" customHeight="1">
      <c r="A245" s="912"/>
      <c r="B245" s="1555"/>
      <c r="C245" s="1555"/>
      <c r="D245" s="288"/>
      <c r="K245" s="1079"/>
      <c r="L245" s="1555"/>
      <c r="M245" s="1555"/>
      <c r="N245" s="1079"/>
      <c r="O245" s="1079"/>
      <c r="P245" s="1079"/>
      <c r="Q245" s="1079"/>
      <c r="R245" s="1555"/>
      <c r="S245" s="1079"/>
      <c r="T245" s="1079"/>
      <c r="U245" s="481"/>
      <c r="V245" s="1079"/>
      <c r="W245" s="1079"/>
      <c r="X245" s="1079"/>
      <c r="Y245" s="1079"/>
      <c r="Z245" s="1079"/>
      <c r="AA245" s="1551"/>
      <c r="AB245" s="503"/>
      <c r="AC245" s="503"/>
      <c r="AD245" s="503"/>
      <c r="AE245" s="503"/>
      <c r="AF245" s="1560">
        <v>11</v>
      </c>
    </row>
    <row r="246" spans="1:32" s="2269" customFormat="1" ht="11.45" customHeight="1">
      <c r="A246" s="912"/>
      <c r="B246" s="1555"/>
      <c r="C246" s="1555"/>
      <c r="D246" s="288"/>
      <c r="K246" s="1079"/>
      <c r="L246" s="1555"/>
      <c r="M246" s="1555"/>
      <c r="N246" s="1079"/>
      <c r="O246" s="1079"/>
      <c r="P246" s="1079"/>
      <c r="Q246" s="1079"/>
      <c r="R246" s="1555"/>
      <c r="S246" s="1079"/>
      <c r="T246" s="1079"/>
      <c r="U246" s="481"/>
      <c r="V246" s="1079"/>
      <c r="W246" s="1079"/>
      <c r="X246" s="1079"/>
      <c r="Y246" s="1079"/>
      <c r="Z246" s="1079"/>
      <c r="AA246" s="1551"/>
      <c r="AB246" s="503"/>
      <c r="AC246" s="503"/>
      <c r="AD246" s="503"/>
      <c r="AE246" s="503"/>
      <c r="AF246" s="1560">
        <v>11</v>
      </c>
    </row>
    <row r="247" spans="1:32" s="2269" customFormat="1" ht="11.45" customHeight="1">
      <c r="A247" s="912"/>
      <c r="B247" s="1555"/>
      <c r="C247" s="1555"/>
      <c r="D247" s="288"/>
      <c r="K247" s="1079"/>
      <c r="L247" s="1555"/>
      <c r="M247" s="1555"/>
      <c r="N247" s="1079"/>
      <c r="O247" s="1079"/>
      <c r="P247" s="1079"/>
      <c r="Q247" s="1079"/>
      <c r="R247" s="1555"/>
      <c r="S247" s="1079"/>
      <c r="T247" s="1079"/>
      <c r="U247" s="481"/>
      <c r="V247" s="1079"/>
      <c r="W247" s="1079"/>
      <c r="X247" s="1079"/>
      <c r="Y247" s="1079"/>
      <c r="Z247" s="1079"/>
      <c r="AA247" s="1551"/>
      <c r="AB247" s="503"/>
      <c r="AC247" s="503"/>
      <c r="AD247" s="503"/>
      <c r="AE247" s="503"/>
      <c r="AF247" s="1560">
        <v>11</v>
      </c>
    </row>
    <row r="248" spans="1:32" s="2269" customFormat="1" ht="11.45" customHeight="1">
      <c r="A248" s="912"/>
      <c r="B248" s="1555"/>
      <c r="C248" s="1555"/>
      <c r="D248" s="288"/>
      <c r="K248" s="1079"/>
      <c r="L248" s="1555"/>
      <c r="M248" s="1555"/>
      <c r="N248" s="1079"/>
      <c r="O248" s="1079"/>
      <c r="P248" s="1079"/>
      <c r="Q248" s="1079"/>
      <c r="R248" s="1555"/>
      <c r="S248" s="1079"/>
      <c r="T248" s="1079"/>
      <c r="U248" s="481"/>
      <c r="V248" s="1079"/>
      <c r="W248" s="1079"/>
      <c r="X248" s="1079"/>
      <c r="Y248" s="1079"/>
      <c r="Z248" s="1079"/>
      <c r="AA248" s="1551"/>
      <c r="AB248" s="503"/>
      <c r="AC248" s="503"/>
      <c r="AD248" s="503"/>
      <c r="AE248" s="503"/>
      <c r="AF248" s="1560">
        <v>11</v>
      </c>
    </row>
    <row r="249" spans="1:32" s="2269" customFormat="1" ht="11.45" customHeight="1">
      <c r="A249" s="912"/>
      <c r="B249" s="1555"/>
      <c r="C249" s="1555"/>
      <c r="D249" s="288"/>
      <c r="K249" s="1079"/>
      <c r="L249" s="1555"/>
      <c r="M249" s="1555"/>
      <c r="N249" s="1079"/>
      <c r="O249" s="1079"/>
      <c r="P249" s="1079"/>
      <c r="Q249" s="1079"/>
      <c r="R249" s="1555"/>
      <c r="S249" s="1079"/>
      <c r="T249" s="1079"/>
      <c r="U249" s="481"/>
      <c r="V249" s="1079"/>
      <c r="W249" s="1079"/>
      <c r="X249" s="1079"/>
      <c r="Y249" s="1079"/>
      <c r="Z249" s="1079"/>
      <c r="AA249" s="1551"/>
      <c r="AB249" s="503"/>
      <c r="AC249" s="503"/>
      <c r="AD249" s="503"/>
      <c r="AE249" s="503"/>
      <c r="AF249" s="1560">
        <v>11</v>
      </c>
    </row>
    <row r="250" spans="1:32" s="2269" customFormat="1" ht="11.45" customHeight="1">
      <c r="A250" s="912"/>
      <c r="B250" s="1555"/>
      <c r="C250" s="1555"/>
      <c r="D250" s="288"/>
      <c r="K250" s="1079"/>
      <c r="L250" s="1555"/>
      <c r="M250" s="1555"/>
      <c r="N250" s="1079"/>
      <c r="O250" s="1079"/>
      <c r="P250" s="1079"/>
      <c r="Q250" s="1079"/>
      <c r="R250" s="1555"/>
      <c r="S250" s="1079"/>
      <c r="T250" s="1079"/>
      <c r="U250" s="481"/>
      <c r="V250" s="1079"/>
      <c r="W250" s="1079"/>
      <c r="X250" s="1079"/>
      <c r="Y250" s="1079"/>
      <c r="Z250" s="1079"/>
      <c r="AA250" s="1551"/>
      <c r="AB250" s="503"/>
      <c r="AC250" s="503"/>
      <c r="AD250" s="503"/>
      <c r="AE250" s="503"/>
      <c r="AF250" s="1560">
        <v>11</v>
      </c>
    </row>
    <row r="251" spans="1:32" s="2269" customFormat="1" ht="11.45" customHeight="1">
      <c r="A251" s="912"/>
      <c r="B251" s="1555"/>
      <c r="C251" s="1555"/>
      <c r="D251" s="288"/>
      <c r="K251" s="1079"/>
      <c r="L251" s="1555"/>
      <c r="M251" s="1555"/>
      <c r="N251" s="1079"/>
      <c r="O251" s="1079"/>
      <c r="P251" s="1079"/>
      <c r="Q251" s="1079"/>
      <c r="R251" s="1555"/>
      <c r="S251" s="1079"/>
      <c r="T251" s="1079"/>
      <c r="U251" s="481"/>
      <c r="V251" s="1079"/>
      <c r="W251" s="1079"/>
      <c r="X251" s="1079"/>
      <c r="Y251" s="1079"/>
      <c r="Z251" s="1079"/>
      <c r="AA251" s="1551"/>
      <c r="AB251" s="503"/>
      <c r="AC251" s="503"/>
      <c r="AD251" s="503"/>
      <c r="AE251" s="503"/>
      <c r="AF251" s="1560">
        <v>11</v>
      </c>
    </row>
    <row r="252" spans="1:32" s="2269" customFormat="1" ht="11.45" customHeight="1">
      <c r="A252" s="912"/>
      <c r="B252" s="1555"/>
      <c r="C252" s="1555"/>
      <c r="D252" s="288"/>
      <c r="K252" s="1079"/>
      <c r="L252" s="1555"/>
      <c r="M252" s="1555"/>
      <c r="N252" s="1079"/>
      <c r="O252" s="1079"/>
      <c r="P252" s="1079"/>
      <c r="Q252" s="1079"/>
      <c r="R252" s="1555"/>
      <c r="S252" s="1079"/>
      <c r="T252" s="1079"/>
      <c r="U252" s="481"/>
      <c r="V252" s="1079"/>
      <c r="W252" s="1079"/>
      <c r="X252" s="1079"/>
      <c r="Y252" s="1079"/>
      <c r="Z252" s="1079"/>
      <c r="AA252" s="1551"/>
      <c r="AB252" s="503"/>
      <c r="AC252" s="503"/>
      <c r="AD252" s="503"/>
      <c r="AE252" s="503"/>
      <c r="AF252" s="1560">
        <v>11</v>
      </c>
    </row>
    <row r="253" spans="1:32" s="2269" customFormat="1" ht="11.45" customHeight="1">
      <c r="A253" s="912"/>
      <c r="B253" s="1555"/>
      <c r="C253" s="1555"/>
      <c r="D253" s="288"/>
      <c r="K253" s="1079"/>
      <c r="L253" s="1555"/>
      <c r="M253" s="1555"/>
      <c r="N253" s="1079"/>
      <c r="O253" s="1079"/>
      <c r="P253" s="1079"/>
      <c r="Q253" s="1079"/>
      <c r="R253" s="1555"/>
      <c r="S253" s="1079"/>
      <c r="T253" s="1079"/>
      <c r="U253" s="481"/>
      <c r="V253" s="1079"/>
      <c r="W253" s="1079"/>
      <c r="X253" s="1079"/>
      <c r="Y253" s="1079"/>
      <c r="Z253" s="1079"/>
      <c r="AA253" s="1551"/>
      <c r="AB253" s="503"/>
      <c r="AC253" s="503"/>
      <c r="AD253" s="503"/>
      <c r="AE253" s="503"/>
      <c r="AF253" s="1560">
        <v>11</v>
      </c>
    </row>
    <row r="254" spans="1:32" s="2269" customFormat="1" ht="11.45" customHeight="1">
      <c r="A254" s="912"/>
      <c r="B254" s="1555"/>
      <c r="C254" s="1555"/>
      <c r="D254" s="288"/>
      <c r="K254" s="1079"/>
      <c r="L254" s="1555"/>
      <c r="M254" s="1555"/>
      <c r="N254" s="1079"/>
      <c r="O254" s="1079"/>
      <c r="P254" s="1079"/>
      <c r="Q254" s="1079"/>
      <c r="R254" s="1555"/>
      <c r="S254" s="1079"/>
      <c r="T254" s="1079"/>
      <c r="U254" s="481"/>
      <c r="V254" s="1079"/>
      <c r="W254" s="1079"/>
      <c r="X254" s="1079"/>
      <c r="Y254" s="1079"/>
      <c r="Z254" s="1079"/>
      <c r="AA254" s="1551"/>
      <c r="AB254" s="503"/>
      <c r="AC254" s="503"/>
      <c r="AD254" s="503"/>
      <c r="AE254" s="503"/>
      <c r="AF254" s="1560">
        <v>11</v>
      </c>
    </row>
    <row r="255" spans="1:32" s="2269" customFormat="1" ht="11.45" customHeight="1">
      <c r="A255" s="912"/>
      <c r="B255" s="1555"/>
      <c r="C255" s="1555"/>
      <c r="D255" s="288"/>
      <c r="K255" s="1079"/>
      <c r="L255" s="1555"/>
      <c r="M255" s="1555"/>
      <c r="N255" s="1079"/>
      <c r="O255" s="1079"/>
      <c r="P255" s="1079"/>
      <c r="Q255" s="1079"/>
      <c r="R255" s="1555"/>
      <c r="S255" s="1079"/>
      <c r="T255" s="1079"/>
      <c r="U255" s="481"/>
      <c r="V255" s="1079"/>
      <c r="W255" s="1079"/>
      <c r="X255" s="1079"/>
      <c r="Y255" s="1079"/>
      <c r="Z255" s="1079"/>
      <c r="AA255" s="1551"/>
      <c r="AB255" s="503"/>
      <c r="AC255" s="503"/>
      <c r="AD255" s="503"/>
      <c r="AE255" s="503"/>
      <c r="AF255" s="1560">
        <v>11</v>
      </c>
    </row>
    <row r="256" spans="1:32" s="2269" customFormat="1" ht="11.45" customHeight="1">
      <c r="A256" s="912"/>
      <c r="B256" s="1555"/>
      <c r="C256" s="1555"/>
      <c r="D256" s="288"/>
      <c r="K256" s="1079"/>
      <c r="L256" s="1555"/>
      <c r="M256" s="1555"/>
      <c r="N256" s="1079"/>
      <c r="O256" s="1079"/>
      <c r="P256" s="1079"/>
      <c r="Q256" s="1079"/>
      <c r="R256" s="1555"/>
      <c r="S256" s="1079"/>
      <c r="T256" s="1079"/>
      <c r="U256" s="481"/>
      <c r="V256" s="1079"/>
      <c r="W256" s="1079"/>
      <c r="X256" s="1079"/>
      <c r="Y256" s="1079"/>
      <c r="Z256" s="1079"/>
      <c r="AA256" s="1551"/>
      <c r="AB256" s="503"/>
      <c r="AC256" s="503"/>
      <c r="AD256" s="503"/>
      <c r="AE256" s="503"/>
      <c r="AF256" s="1560">
        <v>11</v>
      </c>
    </row>
    <row r="257" spans="1:32" s="2269" customFormat="1" ht="11.45" customHeight="1">
      <c r="A257" s="912"/>
      <c r="B257" s="1555"/>
      <c r="C257" s="1555"/>
      <c r="D257" s="288"/>
      <c r="K257" s="1079"/>
      <c r="L257" s="1555"/>
      <c r="M257" s="1555"/>
      <c r="N257" s="1079"/>
      <c r="O257" s="1079"/>
      <c r="P257" s="1079"/>
      <c r="Q257" s="1079"/>
      <c r="R257" s="1555"/>
      <c r="S257" s="1079"/>
      <c r="T257" s="1079"/>
      <c r="U257" s="481"/>
      <c r="V257" s="1079"/>
      <c r="W257" s="1079"/>
      <c r="X257" s="1079"/>
      <c r="Y257" s="1079"/>
      <c r="Z257" s="1079"/>
      <c r="AA257" s="1551"/>
      <c r="AB257" s="503"/>
      <c r="AC257" s="503"/>
      <c r="AD257" s="503"/>
      <c r="AE257" s="503"/>
      <c r="AF257" s="1560">
        <v>11</v>
      </c>
    </row>
    <row r="258" spans="1:32" s="2269" customFormat="1" ht="11.45" customHeight="1">
      <c r="A258" s="912"/>
      <c r="B258" s="1555"/>
      <c r="C258" s="1555"/>
      <c r="D258" s="288"/>
      <c r="K258" s="1079"/>
      <c r="L258" s="1555"/>
      <c r="M258" s="1555"/>
      <c r="N258" s="1079"/>
      <c r="O258" s="1079"/>
      <c r="P258" s="1079"/>
      <c r="Q258" s="1079"/>
      <c r="R258" s="1555"/>
      <c r="S258" s="1079"/>
      <c r="T258" s="1079"/>
      <c r="U258" s="481"/>
      <c r="V258" s="1079"/>
      <c r="W258" s="1079"/>
      <c r="X258" s="1079"/>
      <c r="Y258" s="1079"/>
      <c r="Z258" s="1079"/>
      <c r="AA258" s="1551"/>
      <c r="AB258" s="503"/>
      <c r="AC258" s="503"/>
      <c r="AD258" s="503"/>
      <c r="AE258" s="503"/>
      <c r="AF258" s="1560">
        <v>11</v>
      </c>
    </row>
    <row r="259" spans="1:32" s="2269" customFormat="1" ht="11.45" customHeight="1">
      <c r="A259" s="912"/>
      <c r="B259" s="1555"/>
      <c r="C259" s="1555"/>
      <c r="D259" s="288"/>
      <c r="K259" s="1079"/>
      <c r="L259" s="1555"/>
      <c r="M259" s="1555"/>
      <c r="N259" s="1079"/>
      <c r="O259" s="1079"/>
      <c r="P259" s="1079"/>
      <c r="Q259" s="1079"/>
      <c r="R259" s="1555"/>
      <c r="S259" s="1079"/>
      <c r="T259" s="1079"/>
      <c r="U259" s="481"/>
      <c r="V259" s="1079"/>
      <c r="W259" s="1079"/>
      <c r="X259" s="1079"/>
      <c r="Y259" s="1079"/>
      <c r="Z259" s="1079"/>
      <c r="AA259" s="1551"/>
      <c r="AB259" s="503"/>
      <c r="AC259" s="503"/>
      <c r="AD259" s="503"/>
      <c r="AE259" s="503"/>
      <c r="AF259" s="1560">
        <v>11</v>
      </c>
    </row>
    <row r="260" spans="1:32" s="2269" customFormat="1" ht="11.45" customHeight="1">
      <c r="A260" s="912"/>
      <c r="B260" s="1555"/>
      <c r="C260" s="1555"/>
      <c r="D260" s="288"/>
      <c r="K260" s="1079"/>
      <c r="L260" s="1555"/>
      <c r="M260" s="1555"/>
      <c r="N260" s="1079"/>
      <c r="O260" s="1079"/>
      <c r="P260" s="1079"/>
      <c r="Q260" s="1079"/>
      <c r="R260" s="1555"/>
      <c r="S260" s="1079"/>
      <c r="T260" s="1079"/>
      <c r="U260" s="481"/>
      <c r="V260" s="1079"/>
      <c r="W260" s="1079"/>
      <c r="X260" s="1079"/>
      <c r="Y260" s="1079"/>
      <c r="Z260" s="1079"/>
      <c r="AA260" s="1551"/>
      <c r="AB260" s="503"/>
      <c r="AC260" s="503"/>
      <c r="AD260" s="503"/>
      <c r="AE260" s="503"/>
      <c r="AF260" s="1560">
        <v>11</v>
      </c>
    </row>
    <row r="261" spans="1:32" s="2269" customFormat="1" ht="11.45" customHeight="1">
      <c r="A261" s="912"/>
      <c r="B261" s="1555"/>
      <c r="C261" s="1555"/>
      <c r="D261" s="288"/>
      <c r="K261" s="1079"/>
      <c r="L261" s="1555"/>
      <c r="M261" s="1555"/>
      <c r="N261" s="1079"/>
      <c r="O261" s="1079"/>
      <c r="P261" s="1079"/>
      <c r="Q261" s="1079"/>
      <c r="R261" s="1555"/>
      <c r="S261" s="1079"/>
      <c r="T261" s="1079"/>
      <c r="U261" s="481"/>
      <c r="V261" s="1079"/>
      <c r="W261" s="1079"/>
      <c r="X261" s="1079"/>
      <c r="Y261" s="1079"/>
      <c r="Z261" s="1079"/>
      <c r="AA261" s="1551"/>
      <c r="AB261" s="503"/>
      <c r="AC261" s="503"/>
      <c r="AD261" s="503"/>
      <c r="AE261" s="503"/>
      <c r="AF261" s="1560">
        <v>11</v>
      </c>
    </row>
    <row r="262" spans="1:32" s="2269" customFormat="1" ht="11.45" customHeight="1">
      <c r="A262" s="912"/>
      <c r="B262" s="1555"/>
      <c r="C262" s="1555"/>
      <c r="D262" s="288"/>
      <c r="K262" s="1079"/>
      <c r="L262" s="1555"/>
      <c r="M262" s="1555"/>
      <c r="N262" s="1079"/>
      <c r="O262" s="1079"/>
      <c r="P262" s="1079"/>
      <c r="Q262" s="1079"/>
      <c r="R262" s="1555"/>
      <c r="S262" s="1079"/>
      <c r="T262" s="1079"/>
      <c r="U262" s="481"/>
      <c r="V262" s="1079"/>
      <c r="W262" s="1079"/>
      <c r="X262" s="1079"/>
      <c r="Y262" s="1079"/>
      <c r="Z262" s="1079"/>
      <c r="AA262" s="1551"/>
      <c r="AB262" s="503"/>
      <c r="AC262" s="503"/>
      <c r="AD262" s="503"/>
      <c r="AE262" s="503"/>
      <c r="AF262" s="1560">
        <v>11</v>
      </c>
    </row>
    <row r="263" spans="1:32" s="2269" customFormat="1" ht="11.45" customHeight="1">
      <c r="A263" s="912"/>
      <c r="B263" s="1555"/>
      <c r="C263" s="1555"/>
      <c r="D263" s="288"/>
      <c r="K263" s="1079"/>
      <c r="L263" s="1555"/>
      <c r="M263" s="1555"/>
      <c r="N263" s="1079"/>
      <c r="O263" s="1079"/>
      <c r="P263" s="1079"/>
      <c r="Q263" s="1079"/>
      <c r="R263" s="1555"/>
      <c r="S263" s="1079"/>
      <c r="T263" s="1079"/>
      <c r="U263" s="481"/>
      <c r="V263" s="1079"/>
      <c r="W263" s="1079"/>
      <c r="X263" s="1079"/>
      <c r="Y263" s="1079"/>
      <c r="Z263" s="1079"/>
      <c r="AA263" s="1551"/>
      <c r="AB263" s="503"/>
      <c r="AC263" s="503"/>
      <c r="AD263" s="503"/>
      <c r="AE263" s="503"/>
      <c r="AF263" s="1560">
        <v>11</v>
      </c>
    </row>
    <row r="264" spans="1:32" s="2269" customFormat="1" ht="11.45" customHeight="1">
      <c r="A264" s="912"/>
      <c r="B264" s="1555"/>
      <c r="C264" s="1555"/>
      <c r="D264" s="288"/>
      <c r="K264" s="1079"/>
      <c r="L264" s="1555"/>
      <c r="M264" s="1555"/>
      <c r="N264" s="1079"/>
      <c r="O264" s="1079"/>
      <c r="P264" s="1079"/>
      <c r="Q264" s="1079"/>
      <c r="R264" s="1555"/>
      <c r="S264" s="1079"/>
      <c r="T264" s="1079"/>
      <c r="U264" s="481"/>
      <c r="V264" s="1079"/>
      <c r="W264" s="1079"/>
      <c r="X264" s="1079"/>
      <c r="Y264" s="1079"/>
      <c r="Z264" s="1079"/>
      <c r="AA264" s="1551"/>
      <c r="AB264" s="503"/>
      <c r="AC264" s="503"/>
      <c r="AD264" s="503"/>
      <c r="AE264" s="503"/>
      <c r="AF264" s="1560">
        <v>11</v>
      </c>
    </row>
    <row r="265" spans="1:32" s="2269" customFormat="1" ht="11.45" customHeight="1">
      <c r="A265" s="912"/>
      <c r="B265" s="1555"/>
      <c r="C265" s="1555"/>
      <c r="D265" s="288"/>
      <c r="K265" s="1079"/>
      <c r="L265" s="1555"/>
      <c r="M265" s="1555"/>
      <c r="N265" s="1079"/>
      <c r="O265" s="1079"/>
      <c r="P265" s="1079"/>
      <c r="Q265" s="1079"/>
      <c r="R265" s="1555"/>
      <c r="S265" s="1079"/>
      <c r="T265" s="1079"/>
      <c r="U265" s="481"/>
      <c r="V265" s="1079"/>
      <c r="W265" s="1079"/>
      <c r="X265" s="1079"/>
      <c r="Y265" s="1079"/>
      <c r="Z265" s="1079"/>
      <c r="AA265" s="1551"/>
      <c r="AB265" s="503"/>
      <c r="AC265" s="503"/>
      <c r="AD265" s="503"/>
      <c r="AE265" s="503"/>
      <c r="AF265" s="1560">
        <v>11</v>
      </c>
    </row>
    <row r="266" spans="1:32" s="2269" customFormat="1" ht="11.45" customHeight="1">
      <c r="A266" s="912"/>
      <c r="B266" s="1555"/>
      <c r="C266" s="1555"/>
      <c r="D266" s="288"/>
      <c r="K266" s="1079"/>
      <c r="L266" s="1555"/>
      <c r="M266" s="1555"/>
      <c r="N266" s="1079"/>
      <c r="O266" s="1079"/>
      <c r="P266" s="1079"/>
      <c r="Q266" s="1079"/>
      <c r="R266" s="1555"/>
      <c r="S266" s="1079"/>
      <c r="T266" s="1079"/>
      <c r="U266" s="481"/>
      <c r="V266" s="1079"/>
      <c r="W266" s="1079"/>
      <c r="X266" s="1079"/>
      <c r="Y266" s="1079"/>
      <c r="Z266" s="1079"/>
      <c r="AA266" s="1551"/>
      <c r="AB266" s="503"/>
      <c r="AC266" s="503"/>
      <c r="AD266" s="503"/>
      <c r="AE266" s="503"/>
      <c r="AF266" s="1560">
        <v>11</v>
      </c>
    </row>
    <row r="267" spans="1:32" s="2269" customFormat="1" ht="11.45" customHeight="1">
      <c r="A267" s="912"/>
      <c r="B267" s="1555"/>
      <c r="C267" s="1555"/>
      <c r="D267" s="288"/>
      <c r="K267" s="1079"/>
      <c r="L267" s="1555"/>
      <c r="M267" s="1555"/>
      <c r="N267" s="1079"/>
      <c r="O267" s="1079"/>
      <c r="P267" s="1079"/>
      <c r="Q267" s="1079"/>
      <c r="R267" s="1555"/>
      <c r="S267" s="1079"/>
      <c r="T267" s="1079"/>
      <c r="U267" s="481"/>
      <c r="V267" s="1079"/>
      <c r="W267" s="1079"/>
      <c r="X267" s="1079"/>
      <c r="Y267" s="1079"/>
      <c r="Z267" s="1079"/>
      <c r="AA267" s="1551"/>
      <c r="AB267" s="503"/>
      <c r="AC267" s="503"/>
      <c r="AD267" s="503"/>
      <c r="AE267" s="503"/>
      <c r="AF267" s="1560">
        <v>11</v>
      </c>
    </row>
    <row r="268" spans="1:32" s="2269" customFormat="1" ht="11.45" customHeight="1">
      <c r="A268" s="912"/>
      <c r="B268" s="1555"/>
      <c r="C268" s="1555"/>
      <c r="D268" s="288"/>
      <c r="K268" s="1079"/>
      <c r="L268" s="1555"/>
      <c r="M268" s="1555"/>
      <c r="N268" s="1079"/>
      <c r="O268" s="1079"/>
      <c r="P268" s="1079"/>
      <c r="Q268" s="1079"/>
      <c r="R268" s="1555"/>
      <c r="S268" s="1079"/>
      <c r="T268" s="1079"/>
      <c r="U268" s="481"/>
      <c r="V268" s="1079"/>
      <c r="W268" s="1079"/>
      <c r="X268" s="1079"/>
      <c r="Y268" s="1079"/>
      <c r="Z268" s="1079"/>
      <c r="AA268" s="1551"/>
      <c r="AB268" s="503"/>
      <c r="AC268" s="503"/>
      <c r="AD268" s="503"/>
      <c r="AE268" s="503"/>
      <c r="AF268" s="1560">
        <v>11</v>
      </c>
    </row>
    <row r="269" spans="1:32" s="2269" customFormat="1" ht="11.45" customHeight="1">
      <c r="A269" s="912"/>
      <c r="B269" s="1555"/>
      <c r="C269" s="1555"/>
      <c r="D269" s="288"/>
      <c r="K269" s="1079"/>
      <c r="L269" s="1555"/>
      <c r="M269" s="1555"/>
      <c r="N269" s="1079"/>
      <c r="O269" s="1079"/>
      <c r="P269" s="1079"/>
      <c r="Q269" s="1079"/>
      <c r="R269" s="1555"/>
      <c r="S269" s="1079"/>
      <c r="T269" s="1079"/>
      <c r="U269" s="481"/>
      <c r="V269" s="1079"/>
      <c r="W269" s="1079"/>
      <c r="X269" s="1079"/>
      <c r="Y269" s="1079"/>
      <c r="Z269" s="1079"/>
      <c r="AA269" s="1551"/>
      <c r="AB269" s="503"/>
      <c r="AC269" s="503"/>
      <c r="AD269" s="503"/>
      <c r="AE269" s="503"/>
      <c r="AF269" s="1560">
        <v>11</v>
      </c>
    </row>
    <row r="270" spans="1:32" s="2269" customFormat="1" ht="11.45" customHeight="1">
      <c r="A270" s="912"/>
      <c r="B270" s="1555"/>
      <c r="C270" s="1555"/>
      <c r="D270" s="288"/>
      <c r="K270" s="1079"/>
      <c r="L270" s="1555"/>
      <c r="M270" s="1555"/>
      <c r="N270" s="1079"/>
      <c r="O270" s="1079"/>
      <c r="P270" s="1079"/>
      <c r="Q270" s="1079"/>
      <c r="R270" s="1555"/>
      <c r="S270" s="1079"/>
      <c r="T270" s="1079"/>
      <c r="U270" s="481"/>
      <c r="V270" s="1079"/>
      <c r="W270" s="1079"/>
      <c r="X270" s="1079"/>
      <c r="Y270" s="1079"/>
      <c r="Z270" s="1079"/>
      <c r="AA270" s="1551"/>
      <c r="AB270" s="503"/>
      <c r="AC270" s="503"/>
      <c r="AD270" s="503"/>
      <c r="AE270" s="503"/>
      <c r="AF270" s="1560">
        <v>11</v>
      </c>
    </row>
    <row r="271" spans="1:32" s="2269" customFormat="1" ht="11.45" customHeight="1">
      <c r="A271" s="912"/>
      <c r="B271" s="1555"/>
      <c r="C271" s="1555"/>
      <c r="D271" s="288"/>
      <c r="K271" s="1079"/>
      <c r="L271" s="1555"/>
      <c r="M271" s="1555"/>
      <c r="N271" s="1079"/>
      <c r="O271" s="1079"/>
      <c r="P271" s="1079"/>
      <c r="Q271" s="1079"/>
      <c r="R271" s="1555"/>
      <c r="S271" s="1079"/>
      <c r="T271" s="1079"/>
      <c r="U271" s="481"/>
      <c r="V271" s="1079"/>
      <c r="W271" s="1079"/>
      <c r="X271" s="1079"/>
      <c r="Y271" s="1079"/>
      <c r="Z271" s="1079"/>
      <c r="AA271" s="1551"/>
      <c r="AB271" s="503"/>
      <c r="AC271" s="503"/>
      <c r="AD271" s="503"/>
      <c r="AE271" s="503"/>
      <c r="AF271" s="1560">
        <v>11</v>
      </c>
    </row>
    <row r="272" spans="1:32" s="2269" customFormat="1" ht="11.45" customHeight="1">
      <c r="A272" s="912"/>
      <c r="B272" s="1555"/>
      <c r="C272" s="1555"/>
      <c r="D272" s="288"/>
      <c r="K272" s="1079"/>
      <c r="L272" s="1555"/>
      <c r="M272" s="1555"/>
      <c r="N272" s="1079"/>
      <c r="O272" s="1079"/>
      <c r="P272" s="1079"/>
      <c r="Q272" s="1079"/>
      <c r="R272" s="1555"/>
      <c r="S272" s="1079"/>
      <c r="T272" s="1079"/>
      <c r="U272" s="481"/>
      <c r="V272" s="1079"/>
      <c r="W272" s="1079"/>
      <c r="X272" s="1079"/>
      <c r="Y272" s="1079"/>
      <c r="Z272" s="1079"/>
      <c r="AA272" s="1551"/>
      <c r="AB272" s="503"/>
      <c r="AC272" s="503"/>
      <c r="AD272" s="503"/>
      <c r="AE272" s="503"/>
      <c r="AF272" s="1560">
        <v>11</v>
      </c>
    </row>
    <row r="273" spans="1:32" s="2269" customFormat="1" ht="11.45" customHeight="1">
      <c r="A273" s="912"/>
      <c r="B273" s="1555"/>
      <c r="C273" s="1555"/>
      <c r="D273" s="288"/>
      <c r="K273" s="1079"/>
      <c r="L273" s="1555"/>
      <c r="M273" s="1555"/>
      <c r="N273" s="1079"/>
      <c r="O273" s="1079"/>
      <c r="P273" s="1079"/>
      <c r="Q273" s="1079"/>
      <c r="R273" s="1555"/>
      <c r="S273" s="1079"/>
      <c r="T273" s="1079"/>
      <c r="U273" s="481"/>
      <c r="V273" s="1079"/>
      <c r="W273" s="1079"/>
      <c r="X273" s="1079"/>
      <c r="Y273" s="1079"/>
      <c r="Z273" s="1079"/>
      <c r="AA273" s="1551"/>
      <c r="AB273" s="503"/>
      <c r="AC273" s="503"/>
      <c r="AD273" s="503"/>
      <c r="AE273" s="503"/>
      <c r="AF273" s="1560">
        <v>11</v>
      </c>
    </row>
    <row r="274" spans="1:32" s="2269" customFormat="1" ht="11.45" customHeight="1">
      <c r="A274" s="912"/>
      <c r="B274" s="1555"/>
      <c r="C274" s="1555"/>
      <c r="D274" s="288"/>
      <c r="K274" s="1079"/>
      <c r="L274" s="1555"/>
      <c r="M274" s="1555"/>
      <c r="N274" s="1079"/>
      <c r="O274" s="1079"/>
      <c r="P274" s="1079"/>
      <c r="Q274" s="1079"/>
      <c r="R274" s="1555"/>
      <c r="S274" s="1079"/>
      <c r="T274" s="1079"/>
      <c r="U274" s="481"/>
      <c r="V274" s="1079"/>
      <c r="W274" s="1079"/>
      <c r="X274" s="1079"/>
      <c r="Y274" s="1079"/>
      <c r="Z274" s="1079"/>
      <c r="AA274" s="1551"/>
      <c r="AB274" s="503"/>
      <c r="AC274" s="503"/>
      <c r="AD274" s="503"/>
      <c r="AE274" s="503"/>
      <c r="AF274" s="1560">
        <v>11</v>
      </c>
    </row>
    <row r="275" spans="1:32" s="2269" customFormat="1" ht="11.45" customHeight="1">
      <c r="A275" s="912"/>
      <c r="B275" s="1555"/>
      <c r="C275" s="1555"/>
      <c r="D275" s="288"/>
      <c r="K275" s="1079"/>
      <c r="L275" s="1555"/>
      <c r="M275" s="1555"/>
      <c r="N275" s="1079"/>
      <c r="O275" s="1079"/>
      <c r="P275" s="1079"/>
      <c r="Q275" s="1079"/>
      <c r="R275" s="1555"/>
      <c r="S275" s="1079"/>
      <c r="T275" s="1079"/>
      <c r="U275" s="481"/>
      <c r="V275" s="1079"/>
      <c r="W275" s="1079"/>
      <c r="X275" s="1079"/>
      <c r="Y275" s="1079"/>
      <c r="Z275" s="1079"/>
      <c r="AA275" s="1551"/>
      <c r="AB275" s="503"/>
      <c r="AC275" s="503"/>
      <c r="AD275" s="503"/>
      <c r="AE275" s="503"/>
      <c r="AF275" s="1560">
        <v>11</v>
      </c>
    </row>
    <row r="276" spans="1:32" s="2269" customFormat="1" ht="11.45" customHeight="1">
      <c r="A276" s="912"/>
      <c r="B276" s="1555"/>
      <c r="C276" s="1555"/>
      <c r="D276" s="288"/>
      <c r="K276" s="1079"/>
      <c r="L276" s="1555"/>
      <c r="M276" s="1555"/>
      <c r="N276" s="1079"/>
      <c r="O276" s="1079"/>
      <c r="P276" s="1079"/>
      <c r="Q276" s="1079"/>
      <c r="R276" s="1555"/>
      <c r="S276" s="1079"/>
      <c r="T276" s="1079"/>
      <c r="U276" s="481"/>
      <c r="V276" s="1079"/>
      <c r="W276" s="1079"/>
      <c r="X276" s="1079"/>
      <c r="Y276" s="1079"/>
      <c r="Z276" s="1079"/>
      <c r="AA276" s="1551"/>
      <c r="AB276" s="503"/>
      <c r="AC276" s="503"/>
      <c r="AD276" s="503"/>
      <c r="AE276" s="503"/>
      <c r="AF276" s="1560">
        <v>11</v>
      </c>
    </row>
    <row r="277" spans="1:32" s="2269" customFormat="1" ht="11.45" customHeight="1">
      <c r="A277" s="912"/>
      <c r="B277" s="1555"/>
      <c r="C277" s="1555"/>
      <c r="D277" s="288"/>
      <c r="K277" s="1079"/>
      <c r="L277" s="1555"/>
      <c r="M277" s="1555"/>
      <c r="N277" s="1079"/>
      <c r="O277" s="1079"/>
      <c r="P277" s="1079"/>
      <c r="Q277" s="1079"/>
      <c r="R277" s="1555"/>
      <c r="S277" s="1079"/>
      <c r="T277" s="1079"/>
      <c r="U277" s="481"/>
      <c r="V277" s="1079"/>
      <c r="W277" s="1079"/>
      <c r="X277" s="1079"/>
      <c r="Y277" s="1079"/>
      <c r="Z277" s="1079"/>
      <c r="AA277" s="1551"/>
      <c r="AB277" s="503"/>
      <c r="AC277" s="503"/>
      <c r="AD277" s="503"/>
      <c r="AE277" s="503"/>
      <c r="AF277" s="1560">
        <v>11</v>
      </c>
    </row>
    <row r="278" spans="1:32" s="2269" customFormat="1" ht="11.45" customHeight="1">
      <c r="A278" s="912"/>
      <c r="B278" s="1555"/>
      <c r="C278" s="1555"/>
      <c r="D278" s="288"/>
      <c r="K278" s="1079"/>
      <c r="L278" s="1555"/>
      <c r="M278" s="1555"/>
      <c r="N278" s="1079"/>
      <c r="O278" s="1079"/>
      <c r="P278" s="1079"/>
      <c r="Q278" s="1079"/>
      <c r="R278" s="1555"/>
      <c r="S278" s="1079"/>
      <c r="T278" s="1079"/>
      <c r="U278" s="481"/>
      <c r="V278" s="1079"/>
      <c r="W278" s="1079"/>
      <c r="X278" s="1079"/>
      <c r="Y278" s="1079"/>
      <c r="Z278" s="1079"/>
      <c r="AA278" s="1551"/>
      <c r="AB278" s="503"/>
      <c r="AC278" s="503"/>
      <c r="AD278" s="503"/>
      <c r="AE278" s="503"/>
      <c r="AF278" s="1560">
        <v>11</v>
      </c>
    </row>
    <row r="279" spans="1:32" s="2269" customFormat="1" ht="11.45" customHeight="1">
      <c r="A279" s="912"/>
      <c r="B279" s="1555"/>
      <c r="C279" s="1555"/>
      <c r="D279" s="288"/>
      <c r="K279" s="1079"/>
      <c r="L279" s="1555"/>
      <c r="M279" s="1555"/>
      <c r="N279" s="1079"/>
      <c r="O279" s="1079"/>
      <c r="P279" s="1079"/>
      <c r="Q279" s="1079"/>
      <c r="R279" s="1555"/>
      <c r="S279" s="1079"/>
      <c r="T279" s="1079"/>
      <c r="U279" s="481"/>
      <c r="V279" s="1079"/>
      <c r="W279" s="1079"/>
      <c r="X279" s="1079"/>
      <c r="Y279" s="1079"/>
      <c r="Z279" s="1079"/>
      <c r="AA279" s="1551"/>
      <c r="AB279" s="503"/>
      <c r="AC279" s="503"/>
      <c r="AD279" s="503"/>
      <c r="AE279" s="503"/>
      <c r="AF279" s="1560">
        <v>11</v>
      </c>
    </row>
    <row r="280" spans="1:32" s="2269" customFormat="1" ht="11.45" customHeight="1">
      <c r="A280" s="912"/>
      <c r="B280" s="1555"/>
      <c r="C280" s="1555"/>
      <c r="D280" s="288"/>
      <c r="K280" s="1079"/>
      <c r="L280" s="1555"/>
      <c r="M280" s="1555"/>
      <c r="N280" s="1079"/>
      <c r="O280" s="1079"/>
      <c r="P280" s="1079"/>
      <c r="Q280" s="1079"/>
      <c r="R280" s="1555"/>
      <c r="S280" s="1079"/>
      <c r="T280" s="1079"/>
      <c r="U280" s="481"/>
      <c r="V280" s="1079"/>
      <c r="W280" s="1079"/>
      <c r="X280" s="1079"/>
      <c r="Y280" s="1079"/>
      <c r="Z280" s="1079"/>
      <c r="AA280" s="1551"/>
      <c r="AB280" s="503"/>
      <c r="AC280" s="503"/>
      <c r="AD280" s="503"/>
      <c r="AE280" s="503"/>
      <c r="AF280" s="1560">
        <v>11</v>
      </c>
    </row>
    <row r="281" spans="1:32" s="2269" customFormat="1" ht="11.45" customHeight="1">
      <c r="A281" s="912"/>
      <c r="B281" s="1555"/>
      <c r="C281" s="1555"/>
      <c r="D281" s="288"/>
      <c r="K281" s="1079"/>
      <c r="L281" s="1555"/>
      <c r="M281" s="1555"/>
      <c r="N281" s="1079"/>
      <c r="O281" s="1079"/>
      <c r="P281" s="1079"/>
      <c r="Q281" s="1079"/>
      <c r="R281" s="1555"/>
      <c r="S281" s="1079"/>
      <c r="T281" s="1079"/>
      <c r="U281" s="481"/>
      <c r="V281" s="1079"/>
      <c r="W281" s="1079"/>
      <c r="X281" s="1079"/>
      <c r="Y281" s="1079"/>
      <c r="Z281" s="1079"/>
      <c r="AA281" s="1551"/>
      <c r="AB281" s="503"/>
      <c r="AC281" s="503"/>
      <c r="AD281" s="503"/>
      <c r="AE281" s="503"/>
      <c r="AF281" s="1560">
        <v>11</v>
      </c>
    </row>
    <row r="282" spans="1:32" s="2269" customFormat="1" ht="11.45" customHeight="1">
      <c r="A282" s="912"/>
      <c r="B282" s="1555"/>
      <c r="C282" s="1555"/>
      <c r="D282" s="288"/>
      <c r="K282" s="1079"/>
      <c r="L282" s="1555"/>
      <c r="M282" s="1555"/>
      <c r="N282" s="1079"/>
      <c r="O282" s="1079"/>
      <c r="P282" s="1079"/>
      <c r="Q282" s="1079"/>
      <c r="R282" s="1555"/>
      <c r="S282" s="1079"/>
      <c r="T282" s="1079"/>
      <c r="U282" s="481"/>
      <c r="V282" s="1079"/>
      <c r="W282" s="1079"/>
      <c r="X282" s="1079"/>
      <c r="Y282" s="1079"/>
      <c r="Z282" s="1079"/>
      <c r="AA282" s="1551"/>
      <c r="AB282" s="503"/>
      <c r="AC282" s="503"/>
      <c r="AD282" s="503"/>
      <c r="AE282" s="503"/>
      <c r="AF282" s="1560">
        <v>11</v>
      </c>
    </row>
    <row r="283" spans="1:32" s="2269" customFormat="1" ht="11.45" customHeight="1">
      <c r="A283" s="912"/>
      <c r="B283" s="1555"/>
      <c r="C283" s="1555"/>
      <c r="D283" s="288"/>
      <c r="K283" s="1079"/>
      <c r="L283" s="1555"/>
      <c r="M283" s="1555"/>
      <c r="N283" s="1079"/>
      <c r="O283" s="1079"/>
      <c r="P283" s="1079"/>
      <c r="Q283" s="1079"/>
      <c r="R283" s="1555"/>
      <c r="S283" s="1079"/>
      <c r="T283" s="1079"/>
      <c r="U283" s="481"/>
      <c r="V283" s="1079"/>
      <c r="W283" s="1079"/>
      <c r="X283" s="1079"/>
      <c r="Y283" s="1079"/>
      <c r="Z283" s="1079"/>
      <c r="AA283" s="1551"/>
      <c r="AB283" s="503"/>
      <c r="AC283" s="503"/>
      <c r="AD283" s="503"/>
      <c r="AE283" s="503"/>
      <c r="AF283" s="1560">
        <v>11</v>
      </c>
    </row>
    <row r="284" spans="1:32" s="2269" customFormat="1" ht="11.45" customHeight="1">
      <c r="A284" s="912"/>
      <c r="B284" s="1555"/>
      <c r="C284" s="1555"/>
      <c r="D284" s="288"/>
      <c r="K284" s="1079"/>
      <c r="L284" s="1555"/>
      <c r="M284" s="1555"/>
      <c r="N284" s="1079"/>
      <c r="O284" s="1079"/>
      <c r="P284" s="1079"/>
      <c r="Q284" s="1079"/>
      <c r="R284" s="1555"/>
      <c r="S284" s="1079"/>
      <c r="T284" s="1079"/>
      <c r="U284" s="481"/>
      <c r="V284" s="1079"/>
      <c r="W284" s="1079"/>
      <c r="X284" s="1079"/>
      <c r="Y284" s="1079"/>
      <c r="Z284" s="1079"/>
      <c r="AA284" s="1551"/>
      <c r="AB284" s="503"/>
      <c r="AC284" s="503"/>
      <c r="AD284" s="503"/>
      <c r="AE284" s="503"/>
      <c r="AF284" s="1560">
        <v>11</v>
      </c>
    </row>
    <row r="285" spans="1:32" s="2269" customFormat="1" ht="11.45" customHeight="1">
      <c r="A285" s="912"/>
      <c r="B285" s="1555"/>
      <c r="C285" s="1555"/>
      <c r="D285" s="288"/>
      <c r="K285" s="1079"/>
      <c r="L285" s="1555"/>
      <c r="M285" s="1555"/>
      <c r="N285" s="1079"/>
      <c r="O285" s="1079"/>
      <c r="P285" s="1079"/>
      <c r="Q285" s="1079"/>
      <c r="R285" s="1555"/>
      <c r="S285" s="1079"/>
      <c r="T285" s="1079"/>
      <c r="U285" s="481"/>
      <c r="V285" s="1079"/>
      <c r="W285" s="1079"/>
      <c r="X285" s="1079"/>
      <c r="Y285" s="1079"/>
      <c r="Z285" s="1079"/>
      <c r="AA285" s="1551"/>
      <c r="AB285" s="503"/>
      <c r="AC285" s="503"/>
      <c r="AD285" s="503"/>
      <c r="AE285" s="503"/>
      <c r="AF285" s="1560">
        <v>11</v>
      </c>
    </row>
    <row r="286" spans="1:32" s="2269" customFormat="1" ht="11.45" customHeight="1">
      <c r="A286" s="912"/>
      <c r="B286" s="1555"/>
      <c r="C286" s="1555"/>
      <c r="D286" s="288"/>
      <c r="K286" s="1079"/>
      <c r="L286" s="1555"/>
      <c r="M286" s="1555"/>
      <c r="N286" s="1079"/>
      <c r="O286" s="1079"/>
      <c r="P286" s="1079"/>
      <c r="Q286" s="1079"/>
      <c r="R286" s="1555"/>
      <c r="S286" s="1079"/>
      <c r="T286" s="1079"/>
      <c r="U286" s="481"/>
      <c r="V286" s="1079"/>
      <c r="W286" s="1079"/>
      <c r="X286" s="1079"/>
      <c r="Y286" s="1079"/>
      <c r="Z286" s="1079"/>
      <c r="AA286" s="1551"/>
      <c r="AB286" s="503"/>
      <c r="AC286" s="503"/>
      <c r="AD286" s="503"/>
      <c r="AE286" s="503"/>
      <c r="AF286" s="1560">
        <v>11</v>
      </c>
    </row>
    <row r="287" spans="1:32" s="2269" customFormat="1" ht="11.45" customHeight="1">
      <c r="A287" s="912"/>
      <c r="B287" s="1555"/>
      <c r="C287" s="1555"/>
      <c r="D287" s="288"/>
      <c r="K287" s="1079"/>
      <c r="L287" s="1555"/>
      <c r="M287" s="1555"/>
      <c r="N287" s="1079"/>
      <c r="O287" s="1079"/>
      <c r="P287" s="1079"/>
      <c r="Q287" s="1079"/>
      <c r="R287" s="1555"/>
      <c r="S287" s="1079"/>
      <c r="T287" s="1079"/>
      <c r="U287" s="481"/>
      <c r="V287" s="1079"/>
      <c r="W287" s="1079"/>
      <c r="X287" s="1079"/>
      <c r="Y287" s="1079"/>
      <c r="Z287" s="1079"/>
      <c r="AA287" s="1551"/>
      <c r="AB287" s="503"/>
      <c r="AC287" s="503"/>
      <c r="AD287" s="503"/>
      <c r="AE287" s="503"/>
      <c r="AF287" s="1560">
        <v>11</v>
      </c>
    </row>
    <row r="288" spans="1:32" s="2269" customFormat="1" ht="11.45" customHeight="1">
      <c r="A288" s="912"/>
      <c r="B288" s="1555"/>
      <c r="C288" s="1555"/>
      <c r="D288" s="288"/>
      <c r="K288" s="1079"/>
      <c r="L288" s="1555"/>
      <c r="M288" s="1555"/>
      <c r="N288" s="1079"/>
      <c r="O288" s="1079"/>
      <c r="P288" s="1079"/>
      <c r="Q288" s="1079"/>
      <c r="R288" s="1555"/>
      <c r="S288" s="1079"/>
      <c r="T288" s="1079"/>
      <c r="U288" s="481"/>
      <c r="V288" s="1079"/>
      <c r="W288" s="1079"/>
      <c r="X288" s="1079"/>
      <c r="Y288" s="1079"/>
      <c r="Z288" s="1079"/>
      <c r="AA288" s="1551"/>
      <c r="AB288" s="503"/>
      <c r="AC288" s="503"/>
      <c r="AD288" s="503"/>
      <c r="AE288" s="503"/>
      <c r="AF288" s="1560">
        <v>11</v>
      </c>
    </row>
    <row r="289" spans="1:32" s="2269" customFormat="1" ht="11.45" customHeight="1">
      <c r="A289" s="912"/>
      <c r="B289" s="1555"/>
      <c r="C289" s="1555"/>
      <c r="D289" s="288"/>
      <c r="K289" s="1079"/>
      <c r="L289" s="1555"/>
      <c r="M289" s="1555"/>
      <c r="N289" s="1079"/>
      <c r="O289" s="1079"/>
      <c r="P289" s="1079"/>
      <c r="Q289" s="1079"/>
      <c r="R289" s="1555"/>
      <c r="S289" s="1079"/>
      <c r="T289" s="1079"/>
      <c r="U289" s="481"/>
      <c r="V289" s="1079"/>
      <c r="W289" s="1079"/>
      <c r="X289" s="1079"/>
      <c r="Y289" s="1079"/>
      <c r="Z289" s="1079"/>
      <c r="AA289" s="1551"/>
      <c r="AB289" s="503"/>
      <c r="AC289" s="503"/>
      <c r="AD289" s="503"/>
      <c r="AE289" s="503"/>
      <c r="AF289" s="1560">
        <v>11</v>
      </c>
    </row>
    <row r="290" spans="1:32" ht="11.45" customHeight="1">
      <c r="AF290" s="1550">
        <v>11</v>
      </c>
    </row>
    <row r="291" spans="1:32" ht="11.45" customHeight="1">
      <c r="AF291" s="1550">
        <v>11</v>
      </c>
    </row>
    <row r="292" spans="1:32" ht="11.45" customHeight="1">
      <c r="AF292" s="1550">
        <v>11</v>
      </c>
    </row>
    <row r="293" spans="1:32" ht="11.45" customHeight="1">
      <c r="A293" s="915"/>
      <c r="B293" s="1550"/>
      <c r="D293" s="1550"/>
      <c r="K293" s="1550"/>
      <c r="N293" s="1550"/>
      <c r="O293" s="1550"/>
      <c r="P293" s="1550"/>
      <c r="Q293" s="1550"/>
      <c r="S293" s="1550"/>
      <c r="T293" s="1550"/>
      <c r="U293" s="1550"/>
      <c r="V293" s="1550"/>
      <c r="W293" s="1550"/>
      <c r="X293" s="1550"/>
      <c r="Y293" s="1550"/>
      <c r="Z293" s="1550"/>
      <c r="AA293" s="1550"/>
      <c r="AB293" s="1550"/>
      <c r="AC293" s="1550"/>
      <c r="AD293" s="1550"/>
      <c r="AE293" s="1550"/>
      <c r="AF293" s="1550">
        <v>11</v>
      </c>
    </row>
    <row r="294" spans="1:32" ht="11.45" customHeight="1">
      <c r="A294" s="915"/>
      <c r="B294" s="1550"/>
      <c r="D294" s="1550"/>
      <c r="K294" s="1550"/>
      <c r="N294" s="1550"/>
      <c r="O294" s="1550"/>
      <c r="P294" s="1550"/>
      <c r="Q294" s="1550"/>
      <c r="S294" s="1550"/>
      <c r="T294" s="1550"/>
      <c r="U294" s="1550"/>
      <c r="V294" s="1550"/>
      <c r="W294" s="1550"/>
      <c r="X294" s="1550"/>
      <c r="Y294" s="1550"/>
      <c r="Z294" s="1550"/>
      <c r="AA294" s="1550"/>
      <c r="AB294" s="1550"/>
      <c r="AC294" s="1550"/>
      <c r="AD294" s="1550"/>
      <c r="AE294" s="1550"/>
      <c r="AF294" s="1550">
        <v>11</v>
      </c>
    </row>
    <row r="295" spans="1:32" ht="11.45" customHeight="1">
      <c r="A295" s="915"/>
      <c r="B295" s="1550"/>
      <c r="D295" s="1550"/>
      <c r="K295" s="1550"/>
      <c r="N295" s="1550"/>
      <c r="O295" s="1550"/>
      <c r="P295" s="1550"/>
      <c r="Q295" s="1550"/>
      <c r="S295" s="1550"/>
      <c r="T295" s="1550"/>
      <c r="U295" s="1550"/>
      <c r="V295" s="1550"/>
      <c r="W295" s="1550"/>
      <c r="X295" s="1550"/>
      <c r="Y295" s="1550"/>
      <c r="Z295" s="1550"/>
      <c r="AA295" s="1550"/>
      <c r="AB295" s="1550"/>
      <c r="AC295" s="1550"/>
      <c r="AD295" s="1550"/>
      <c r="AE295" s="1550"/>
      <c r="AF295" s="1550">
        <v>11</v>
      </c>
    </row>
    <row r="296" spans="1:32" ht="11.45" customHeight="1">
      <c r="A296" s="915"/>
      <c r="B296" s="1550"/>
      <c r="D296" s="1550"/>
      <c r="K296" s="1550"/>
      <c r="N296" s="1550"/>
      <c r="O296" s="1550"/>
      <c r="P296" s="1550"/>
      <c r="Q296" s="1550"/>
      <c r="S296" s="1550"/>
      <c r="T296" s="1550"/>
      <c r="U296" s="1550"/>
      <c r="V296" s="1550"/>
      <c r="W296" s="1550"/>
      <c r="X296" s="1550"/>
      <c r="Y296" s="1550"/>
      <c r="Z296" s="1550"/>
      <c r="AA296" s="1550"/>
      <c r="AB296" s="1550"/>
      <c r="AC296" s="1550"/>
      <c r="AD296" s="1550"/>
      <c r="AE296" s="1550"/>
      <c r="AF296" s="1550">
        <v>11</v>
      </c>
    </row>
    <row r="297" spans="1:32" ht="11.45" customHeight="1">
      <c r="A297" s="915"/>
      <c r="B297" s="1550"/>
      <c r="D297" s="1550"/>
      <c r="K297" s="1550"/>
      <c r="N297" s="1550"/>
      <c r="O297" s="1550"/>
      <c r="P297" s="1550"/>
      <c r="Q297" s="1550"/>
      <c r="S297" s="1550"/>
      <c r="T297" s="1550"/>
      <c r="U297" s="1550"/>
      <c r="V297" s="1550"/>
      <c r="W297" s="1550"/>
      <c r="X297" s="1550"/>
      <c r="Y297" s="1550"/>
      <c r="Z297" s="1550"/>
      <c r="AA297" s="1550"/>
      <c r="AB297" s="1550"/>
      <c r="AC297" s="1550"/>
      <c r="AD297" s="1550"/>
      <c r="AE297" s="1550"/>
      <c r="AF297" s="1550">
        <v>11</v>
      </c>
    </row>
    <row r="298" spans="1:32" ht="11.45" customHeight="1">
      <c r="A298" s="915"/>
      <c r="B298" s="1550"/>
      <c r="D298" s="1550"/>
      <c r="K298" s="1550"/>
      <c r="N298" s="1550"/>
      <c r="O298" s="1550"/>
      <c r="P298" s="1550"/>
      <c r="Q298" s="1550"/>
      <c r="S298" s="1550"/>
      <c r="T298" s="1550"/>
      <c r="U298" s="1550"/>
      <c r="V298" s="1550"/>
      <c r="W298" s="1550"/>
      <c r="X298" s="1550"/>
      <c r="Y298" s="1550"/>
      <c r="Z298" s="1550"/>
      <c r="AA298" s="1550"/>
      <c r="AB298" s="1550"/>
      <c r="AC298" s="1550"/>
      <c r="AD298" s="1550"/>
      <c r="AE298" s="1550"/>
      <c r="AF298" s="1550">
        <v>11</v>
      </c>
    </row>
    <row r="299" spans="1:32" ht="11.45" customHeight="1">
      <c r="A299" s="915"/>
      <c r="B299" s="1550"/>
      <c r="D299" s="1550"/>
      <c r="K299" s="1550"/>
      <c r="N299" s="1550"/>
      <c r="O299" s="1550"/>
      <c r="P299" s="1550"/>
      <c r="Q299" s="1550"/>
      <c r="S299" s="1550"/>
      <c r="T299" s="1550"/>
      <c r="U299" s="1550"/>
      <c r="V299" s="1550"/>
      <c r="W299" s="1550"/>
      <c r="X299" s="1550"/>
      <c r="Y299" s="1550"/>
      <c r="Z299" s="1550"/>
      <c r="AA299" s="1550"/>
      <c r="AB299" s="1550"/>
      <c r="AC299" s="1550"/>
      <c r="AD299" s="1550"/>
      <c r="AE299" s="1550"/>
      <c r="AF299" s="1550">
        <v>11</v>
      </c>
    </row>
    <row r="300" spans="1:32" ht="11.45" customHeight="1">
      <c r="A300" s="915"/>
      <c r="B300" s="1550"/>
      <c r="D300" s="1550"/>
      <c r="K300" s="1550"/>
      <c r="N300" s="1550"/>
      <c r="O300" s="1550"/>
      <c r="P300" s="1550"/>
      <c r="Q300" s="1550"/>
      <c r="S300" s="1550"/>
      <c r="T300" s="1550"/>
      <c r="U300" s="1550"/>
      <c r="V300" s="1550"/>
      <c r="W300" s="1550"/>
      <c r="X300" s="1550"/>
      <c r="Y300" s="1550"/>
      <c r="Z300" s="1550"/>
      <c r="AA300" s="1550"/>
      <c r="AB300" s="1550"/>
      <c r="AC300" s="1550"/>
      <c r="AD300" s="1550"/>
      <c r="AE300" s="1550"/>
      <c r="AF300" s="1550">
        <v>11</v>
      </c>
    </row>
    <row r="301" spans="1:32" ht="11.45" customHeight="1">
      <c r="A301" s="915"/>
      <c r="B301" s="1550"/>
      <c r="D301" s="1550"/>
      <c r="K301" s="1550"/>
      <c r="N301" s="1550"/>
      <c r="O301" s="1550"/>
      <c r="P301" s="1550"/>
      <c r="Q301" s="1550"/>
      <c r="S301" s="1550"/>
      <c r="T301" s="1550"/>
      <c r="U301" s="1550"/>
      <c r="V301" s="1550"/>
      <c r="W301" s="1550"/>
      <c r="X301" s="1550"/>
      <c r="Y301" s="1550"/>
      <c r="Z301" s="1550"/>
      <c r="AA301" s="1550"/>
      <c r="AB301" s="1550"/>
      <c r="AC301" s="1550"/>
      <c r="AD301" s="1550"/>
      <c r="AE301" s="1550"/>
      <c r="AF301" s="1550">
        <v>11</v>
      </c>
    </row>
    <row r="302" spans="1:32" ht="11.45" customHeight="1">
      <c r="A302" s="915"/>
      <c r="B302" s="1550"/>
      <c r="D302" s="1550"/>
      <c r="K302" s="1550"/>
      <c r="N302" s="1550"/>
      <c r="O302" s="1550"/>
      <c r="P302" s="1550"/>
      <c r="Q302" s="1550"/>
      <c r="S302" s="1550"/>
      <c r="T302" s="1550"/>
      <c r="U302" s="1550"/>
      <c r="V302" s="1550"/>
      <c r="W302" s="1550"/>
      <c r="X302" s="1550"/>
      <c r="Y302" s="1550"/>
      <c r="Z302" s="1550"/>
      <c r="AA302" s="1550"/>
      <c r="AB302" s="1550"/>
      <c r="AC302" s="1550"/>
      <c r="AD302" s="1550"/>
      <c r="AE302" s="1550"/>
      <c r="AF302" s="1550">
        <v>11</v>
      </c>
    </row>
    <row r="303" spans="1:32" ht="11.45" customHeight="1">
      <c r="A303" s="915"/>
      <c r="B303" s="1550"/>
      <c r="D303" s="1550"/>
      <c r="K303" s="1550"/>
      <c r="N303" s="1550"/>
      <c r="O303" s="1550"/>
      <c r="P303" s="1550"/>
      <c r="Q303" s="1550"/>
      <c r="S303" s="1550"/>
      <c r="T303" s="1550"/>
      <c r="U303" s="1550"/>
      <c r="V303" s="1550"/>
      <c r="W303" s="1550"/>
      <c r="X303" s="1550"/>
      <c r="Y303" s="1550"/>
      <c r="Z303" s="1550"/>
      <c r="AA303" s="1550"/>
      <c r="AB303" s="1550"/>
      <c r="AC303" s="1550"/>
      <c r="AD303" s="1550"/>
      <c r="AE303" s="1550"/>
      <c r="AF303" s="1550">
        <v>11</v>
      </c>
    </row>
    <row r="304" spans="1:32" ht="11.25" hidden="1" customHeight="1">
      <c r="A304" s="912" t="s">
        <v>81</v>
      </c>
      <c r="B304" s="1079">
        <v>0</v>
      </c>
      <c r="C304" s="1555">
        <v>0</v>
      </c>
      <c r="D304" s="1554">
        <v>3</v>
      </c>
      <c r="E304" s="1550">
        <v>7</v>
      </c>
      <c r="F304" s="1550">
        <v>54</v>
      </c>
      <c r="G304" s="1550">
        <v>10</v>
      </c>
      <c r="H304" s="1550">
        <v>0</v>
      </c>
      <c r="I304" s="1550">
        <v>40</v>
      </c>
      <c r="J304" s="1550">
        <v>102</v>
      </c>
      <c r="K304" s="1079">
        <v>9</v>
      </c>
      <c r="L304" s="1555">
        <v>5</v>
      </c>
      <c r="M304" s="1555">
        <v>3</v>
      </c>
      <c r="N304" s="1079">
        <v>3</v>
      </c>
      <c r="O304" s="1079">
        <v>3</v>
      </c>
      <c r="P304" s="1079">
        <v>3</v>
      </c>
      <c r="Q304" s="1079">
        <v>3</v>
      </c>
      <c r="R304" s="1555">
        <v>10</v>
      </c>
      <c r="S304" s="1079">
        <v>34</v>
      </c>
      <c r="T304" s="1079">
        <v>9</v>
      </c>
      <c r="U304" s="481">
        <v>8</v>
      </c>
      <c r="V304" s="1079">
        <v>8</v>
      </c>
      <c r="W304" s="1079">
        <v>8</v>
      </c>
      <c r="X304" s="1079">
        <v>8</v>
      </c>
      <c r="Y304" s="1079">
        <v>8</v>
      </c>
      <c r="Z304" s="1079">
        <v>8</v>
      </c>
      <c r="AA304" s="1551">
        <v>8</v>
      </c>
      <c r="AB304" s="1551">
        <v>8</v>
      </c>
      <c r="AC304" s="1551">
        <v>8</v>
      </c>
      <c r="AD304" s="1551">
        <v>8</v>
      </c>
      <c r="AE304" s="1551">
        <v>8</v>
      </c>
      <c r="AF304" s="1550">
        <v>11</v>
      </c>
    </row>
  </sheetData>
  <sheetProtection formatColumns="0" formatRows="0" insertRows="0" deleteColumns="0" deleteRows="0" sort="0" autoFilter="0"/>
  <mergeCells count="18">
    <mergeCell ref="A121:A131"/>
    <mergeCell ref="E21:I21"/>
    <mergeCell ref="E22:I22"/>
    <mergeCell ref="A33:A40"/>
    <mergeCell ref="B34:B39"/>
    <mergeCell ref="A41:A43"/>
    <mergeCell ref="A67:A68"/>
    <mergeCell ref="A83:A91"/>
    <mergeCell ref="A92:A96"/>
    <mergeCell ref="A97:A99"/>
    <mergeCell ref="A100:A112"/>
    <mergeCell ref="A116:A120"/>
    <mergeCell ref="B2:B7"/>
    <mergeCell ref="J25:J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I70 H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2:I95 H128:I128 H30:I30 H32:I33 H35:I38 H40:I65 H83:I87 H17:I17 H9:I13 H15:I15 H97:I120 H75:I75 H89:I90 H4:I6 H71 I7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4">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9:I131 H82:I82">
      <formula1>900</formula1>
    </dataValidation>
    <dataValidation type="decimal" allowBlank="1" showErrorMessage="1" errorTitle="Ошибка" error="Допускается ввод только действительных чисел!" sqref="H73:I74">
      <formula1>-9.99999999999999E+23</formula1>
      <formula2>9.99999999999999E+23</formula2>
    </dataValidation>
    <dataValidation type="decimal" allowBlank="1" showErrorMessage="1" errorTitle="Ошибка" error="Допускается ввод только действительных чисел!" sqref="H124:I124 H121:I121 H127:I127 H76:I81">
      <formula1>-9.99999999999999E+37</formula1>
      <formula2>9.99999999999999E+37</formula2>
    </dataValidation>
    <dataValidation type="decimal" allowBlank="1" showErrorMessage="1" errorTitle="Ошибка" error="Введите значение от 0 до 100%" sqref="H91:I91 H96:I96">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hyperlinks>
    <hyperlink ref="I82" r:id="rId1"/>
  </hyperlinks>
  <pageMargins left="0.70866141732283472" right="0.70866141732283472" top="0.74803149606299213" bottom="0.74803149606299213" header="0.31496062992125984" footer="0.31496062992125984"/>
  <pageSetup paperSize="9" scale="59" fitToHeight="2" orientation="portrait" r:id="rId2"/>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281" hidden="1" customWidth="1"/>
    <col min="2" max="2" width="17" style="2236" hidden="1" customWidth="1"/>
    <col min="3" max="3" width="3" style="2238" customWidth="1"/>
    <col min="4" max="4" width="1.85546875" style="2238" hidden="1" customWidth="1"/>
    <col min="5" max="6" width="7" style="2238" customWidth="1"/>
    <col min="7" max="7" width="29" style="2238" customWidth="1"/>
    <col min="8" max="8" width="3.7109375" style="2238" customWidth="1"/>
    <col min="9" max="9" width="5" style="2238" customWidth="1"/>
    <col min="10" max="11" width="24" style="2238" customWidth="1"/>
    <col min="12" max="12" width="3" style="2238" customWidth="1"/>
    <col min="13" max="13" width="6" style="2238" customWidth="1"/>
    <col min="14" max="14" width="25" style="2238" customWidth="1"/>
    <col min="15" max="18" width="18" style="2238" customWidth="1"/>
    <col min="19" max="19" width="93" style="2238" customWidth="1"/>
    <col min="20" max="20" width="10" style="2238" customWidth="1"/>
    <col min="21" max="21" width="10" style="2245" customWidth="1"/>
    <col min="22" max="22" width="11" style="2245" customWidth="1"/>
    <col min="23" max="27" width="10" style="2236" customWidth="1"/>
    <col min="28" max="83" width="8" style="2238" customWidth="1"/>
    <col min="84" max="84" width="9.140625" style="2238"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1"/>
      <c r="E5" s="2467"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467"/>
      <c r="G5" s="2467"/>
      <c r="H5" s="2467"/>
      <c r="I5" s="2467"/>
      <c r="J5" s="2467"/>
      <c r="K5" s="2467"/>
      <c r="L5" s="550"/>
      <c r="M5" s="550"/>
      <c r="CF5" s="442">
        <v>28</v>
      </c>
    </row>
    <row r="6" spans="1:84" s="2238" customFormat="1" ht="16.899999999999999" customHeight="1">
      <c r="A6" s="547"/>
      <c r="B6" s="694"/>
      <c r="C6" s="446"/>
      <c r="D6" s="982"/>
      <c r="E6" s="2412" t="str">
        <f>IF(org=0,"Не определено",org)</f>
        <v>МУП "Водоканал"</v>
      </c>
      <c r="F6" s="2412"/>
      <c r="G6" s="2412"/>
      <c r="H6" s="2412"/>
      <c r="I6" s="2412"/>
      <c r="J6" s="2412"/>
      <c r="K6" s="2412"/>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2269" customFormat="1" ht="4.1500000000000004" customHeight="1">
      <c r="A8" s="558"/>
      <c r="B8" s="503"/>
      <c r="C8" s="288"/>
      <c r="D8" s="288"/>
      <c r="E8" s="288"/>
      <c r="F8" s="288"/>
      <c r="G8" s="901"/>
      <c r="H8" s="901"/>
      <c r="I8" s="901"/>
      <c r="J8" s="901"/>
      <c r="K8" s="942"/>
      <c r="L8" s="942"/>
      <c r="M8" s="942"/>
      <c r="R8" s="943"/>
      <c r="U8" s="548"/>
      <c r="V8" s="548"/>
      <c r="W8" s="559"/>
      <c r="X8" s="503"/>
      <c r="Y8" s="503"/>
      <c r="Z8" s="503"/>
      <c r="AA8" s="503"/>
      <c r="CF8" s="433">
        <v>4</v>
      </c>
    </row>
    <row r="9" spans="1:84" ht="19.899999999999999" customHeight="1">
      <c r="D9" s="226"/>
      <c r="E9" s="2335" t="s">
        <v>298</v>
      </c>
      <c r="F9" s="2340"/>
      <c r="G9" s="2340"/>
      <c r="H9" s="2340"/>
      <c r="I9" s="2340"/>
      <c r="J9" s="2340"/>
      <c r="K9" s="2340"/>
      <c r="L9" s="2340"/>
      <c r="M9" s="2340"/>
      <c r="N9" s="2340"/>
      <c r="O9" s="2340"/>
      <c r="P9" s="2340"/>
      <c r="Q9" s="2340"/>
      <c r="R9" s="2334"/>
      <c r="S9" s="2363" t="s">
        <v>299</v>
      </c>
      <c r="T9" s="271"/>
      <c r="CF9" s="442">
        <v>19</v>
      </c>
    </row>
    <row r="10" spans="1:84" ht="48.2" customHeight="1">
      <c r="D10" s="488" t="s">
        <v>87</v>
      </c>
      <c r="E10" s="2363" t="s">
        <v>87</v>
      </c>
      <c r="F10" s="2363"/>
      <c r="G10" s="458" t="s">
        <v>300</v>
      </c>
      <c r="H10" s="2363" t="s">
        <v>87</v>
      </c>
      <c r="I10" s="2363"/>
      <c r="J10" s="458" t="s">
        <v>603</v>
      </c>
      <c r="K10" s="458" t="s">
        <v>604</v>
      </c>
      <c r="L10" s="2363" t="s">
        <v>87</v>
      </c>
      <c r="M10" s="2363"/>
      <c r="N10" s="458" t="s">
        <v>605</v>
      </c>
      <c r="O10" s="458" t="s">
        <v>606</v>
      </c>
      <c r="P10" s="458" t="s">
        <v>607</v>
      </c>
      <c r="Q10" s="458" t="s">
        <v>608</v>
      </c>
      <c r="R10" s="458" t="s">
        <v>609</v>
      </c>
      <c r="S10" s="2363"/>
      <c r="T10" s="271"/>
      <c r="CF10" s="442">
        <v>46</v>
      </c>
    </row>
    <row r="11" spans="1:84" s="2245" customFormat="1" ht="15" hidden="1" customHeight="1">
      <c r="A11" s="976"/>
      <c r="D11" s="949" t="s">
        <v>108</v>
      </c>
      <c r="E11" s="949"/>
      <c r="F11" s="949" t="s">
        <v>109</v>
      </c>
      <c r="G11" s="949" t="s">
        <v>89</v>
      </c>
      <c r="H11" s="949"/>
      <c r="I11" s="949" t="s">
        <v>90</v>
      </c>
      <c r="J11" s="949" t="s">
        <v>110</v>
      </c>
      <c r="K11" s="949" t="s">
        <v>91</v>
      </c>
      <c r="L11" s="949"/>
      <c r="M11" s="949" t="s">
        <v>92</v>
      </c>
      <c r="N11" s="949" t="s">
        <v>111</v>
      </c>
      <c r="O11" s="949" t="s">
        <v>148</v>
      </c>
      <c r="P11" s="949" t="s">
        <v>149</v>
      </c>
      <c r="Q11" s="949" t="s">
        <v>150</v>
      </c>
      <c r="R11" s="949" t="s">
        <v>151</v>
      </c>
      <c r="S11" s="949" t="s">
        <v>152</v>
      </c>
      <c r="U11" s="548"/>
      <c r="V11" s="548"/>
      <c r="W11" s="548"/>
      <c r="CF11" s="448">
        <v>0</v>
      </c>
    </row>
    <row r="12" spans="1:84" s="2238" customFormat="1" ht="1.1499999999999999" customHeight="1">
      <c r="A12" s="552"/>
      <c r="B12" s="299"/>
      <c r="D12" s="485"/>
      <c r="E12" s="283"/>
      <c r="F12" s="283"/>
      <c r="Q12" s="553"/>
      <c r="R12" s="554"/>
      <c r="T12" s="555"/>
      <c r="U12" s="556"/>
      <c r="V12" s="556"/>
      <c r="W12" s="557"/>
      <c r="X12" s="299"/>
      <c r="Y12" s="299"/>
      <c r="Z12" s="299"/>
      <c r="AA12" s="299"/>
      <c r="CF12" s="446">
        <v>1</v>
      </c>
    </row>
    <row r="13" spans="1:84" s="2269" customFormat="1" ht="1.1499999999999999" customHeight="1">
      <c r="A13" s="558"/>
      <c r="B13" s="503"/>
      <c r="D13" s="485" t="s">
        <v>374</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2248" customFormat="1" ht="15" hidden="1" customHeight="1">
      <c r="A14" s="560" t="s">
        <v>116</v>
      </c>
      <c r="B14" s="561"/>
      <c r="C14" s="561"/>
      <c r="D14" s="2577" t="s">
        <v>108</v>
      </c>
      <c r="E14" s="2574" t="s">
        <v>104</v>
      </c>
      <c r="F14" s="2575"/>
      <c r="G14" s="2576"/>
      <c r="H14" s="2580" t="str">
        <f>IF(A14="","",INDEX(DIFFERENTIATION_UNMERGE_VD,MATCH(A14,DIFFERENTIATION_ID_DIFF,0)))</f>
        <v>Водоотведение</v>
      </c>
      <c r="I14" s="2580"/>
      <c r="J14" s="2580"/>
      <c r="K14" s="2580"/>
      <c r="L14" s="2580"/>
      <c r="M14" s="2580"/>
      <c r="N14" s="2580"/>
      <c r="O14" s="2580"/>
      <c r="P14" s="2580"/>
      <c r="Q14" s="2580"/>
      <c r="R14" s="2580"/>
      <c r="S14" s="656"/>
      <c r="T14" s="653"/>
      <c r="U14" s="562"/>
      <c r="V14" s="562"/>
      <c r="W14" s="563"/>
      <c r="X14" s="563"/>
      <c r="Y14" s="563"/>
      <c r="Z14" s="563"/>
      <c r="AA14" s="564"/>
      <c r="AB14" s="565"/>
      <c r="AC14" s="2572"/>
      <c r="AD14" s="566"/>
      <c r="AE14" s="567" t="s">
        <v>22</v>
      </c>
      <c r="AF14" s="567"/>
      <c r="AG14" s="568" t="s">
        <v>610</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2248" customFormat="1" ht="15" hidden="1" customHeight="1">
      <c r="A15" s="560"/>
      <c r="B15" s="561"/>
      <c r="C15" s="561"/>
      <c r="D15" s="2578"/>
      <c r="E15" s="2574" t="s">
        <v>562</v>
      </c>
      <c r="F15" s="2575"/>
      <c r="G15" s="2576"/>
      <c r="H15" s="2580" t="str">
        <f>IF(A14="","",INDEX(DIFFERENTIATION_UNMERGE_AREA,MATCH(A14,DIFFERENTIATION_ID_DIFF,0)))</f>
        <v>Территория 1</v>
      </c>
      <c r="I15" s="2580"/>
      <c r="J15" s="2580"/>
      <c r="K15" s="2580"/>
      <c r="L15" s="2580"/>
      <c r="M15" s="2580"/>
      <c r="N15" s="2580"/>
      <c r="O15" s="2580"/>
      <c r="P15" s="2580"/>
      <c r="Q15" s="2580"/>
      <c r="R15" s="2580"/>
      <c r="S15" s="656"/>
      <c r="T15" s="653"/>
      <c r="U15" s="562"/>
      <c r="V15" s="562"/>
      <c r="W15" s="563"/>
      <c r="X15" s="563"/>
      <c r="Y15" s="563"/>
      <c r="Z15" s="563"/>
      <c r="AA15" s="564"/>
      <c r="AB15" s="565"/>
      <c r="AC15" s="2572"/>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2248" customFormat="1" ht="15" hidden="1" customHeight="1">
      <c r="A16" s="560"/>
      <c r="B16" s="561"/>
      <c r="C16" s="561"/>
      <c r="D16" s="2578"/>
      <c r="E16" s="2574" t="s">
        <v>563</v>
      </c>
      <c r="F16" s="2575"/>
      <c r="G16" s="2576"/>
      <c r="H16" s="2580" t="str">
        <f>IF(A14="","",INDEX(DIFFERENTIATION_UNMERGE_SYSTEM,MATCH(A14,DIFFERENTIATION_ID_DIFF,0)))</f>
        <v>без дифференциации</v>
      </c>
      <c r="I16" s="2580"/>
      <c r="J16" s="2580"/>
      <c r="K16" s="2580"/>
      <c r="L16" s="2580"/>
      <c r="M16" s="2580"/>
      <c r="N16" s="2580"/>
      <c r="O16" s="2580"/>
      <c r="P16" s="2580"/>
      <c r="Q16" s="2580"/>
      <c r="R16" s="2580"/>
      <c r="S16" s="656"/>
      <c r="T16" s="653"/>
      <c r="U16" s="562"/>
      <c r="V16" s="562"/>
      <c r="W16" s="563"/>
      <c r="X16" s="563"/>
      <c r="Y16" s="563"/>
      <c r="Z16" s="563"/>
      <c r="AA16" s="564"/>
      <c r="AB16" s="565"/>
      <c r="AC16" s="2572"/>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2248" customFormat="1" ht="22.5" hidden="1" customHeight="1">
      <c r="A17" s="570"/>
      <c r="B17" s="354"/>
      <c r="C17" s="349"/>
      <c r="D17" s="2578"/>
      <c r="E17" s="2573" t="s">
        <v>611</v>
      </c>
      <c r="F17" s="2573"/>
      <c r="G17" s="2573"/>
      <c r="H17" s="2573"/>
      <c r="I17" s="2573"/>
      <c r="J17" s="2573"/>
      <c r="K17" s="2573"/>
      <c r="L17" s="2573"/>
      <c r="M17" s="2573"/>
      <c r="N17" s="2573"/>
      <c r="O17" s="2573"/>
      <c r="P17" s="2573"/>
      <c r="Q17" s="495">
        <f>SUMIF(T18:T19,"i",Q18:Q19)</f>
        <v>0</v>
      </c>
      <c r="R17" s="941"/>
      <c r="S17" s="823" t="s">
        <v>612</v>
      </c>
      <c r="T17" s="654" t="s">
        <v>613</v>
      </c>
      <c r="U17" s="2482">
        <v>1</v>
      </c>
      <c r="V17" s="2482" t="str">
        <f>INDEX(B_FHD_FLAG_INDEX_1,1,MATCH(A14,B_FHD_FLAG_DIFFERENTIATION,0))</f>
        <v>отсутствует</v>
      </c>
      <c r="W17" s="354"/>
      <c r="X17" s="354"/>
      <c r="Y17" s="354"/>
      <c r="Z17" s="354"/>
      <c r="AA17" s="448"/>
      <c r="AB17" s="354"/>
      <c r="AC17" s="2572"/>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2248" customFormat="1" ht="11.25" hidden="1" customHeight="1">
      <c r="A18" s="571"/>
      <c r="B18" s="448"/>
      <c r="C18" s="448"/>
      <c r="D18" s="2578"/>
      <c r="E18" s="572"/>
      <c r="F18" s="572">
        <v>0</v>
      </c>
      <c r="G18" s="572"/>
      <c r="H18" s="572"/>
      <c r="I18" s="572"/>
      <c r="J18" s="572"/>
      <c r="K18" s="572"/>
      <c r="L18" s="572"/>
      <c r="M18" s="572"/>
      <c r="N18" s="572"/>
      <c r="O18" s="572"/>
      <c r="P18" s="572"/>
      <c r="Q18" s="572"/>
      <c r="R18" s="572"/>
      <c r="S18" s="573"/>
      <c r="T18" s="655"/>
      <c r="U18" s="2482"/>
      <c r="V18" s="2482"/>
      <c r="W18" s="448"/>
      <c r="X18" s="448"/>
      <c r="Y18" s="448"/>
      <c r="Z18" s="448"/>
      <c r="AA18" s="448"/>
      <c r="AB18" s="354"/>
      <c r="AC18" s="2572"/>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2248" customFormat="1" ht="11.25" hidden="1" customHeight="1">
      <c r="A19" s="570"/>
      <c r="B19" s="354"/>
      <c r="C19" s="349"/>
      <c r="D19" s="2578"/>
      <c r="E19" s="586" t="s">
        <v>22</v>
      </c>
      <c r="F19" s="587" t="s">
        <v>22</v>
      </c>
      <c r="G19" s="587" t="s">
        <v>22</v>
      </c>
      <c r="H19" s="588" t="s">
        <v>22</v>
      </c>
      <c r="I19" s="588"/>
      <c r="J19" s="588"/>
      <c r="K19" s="588"/>
      <c r="L19" s="588"/>
      <c r="M19" s="588"/>
      <c r="N19" s="588"/>
      <c r="O19" s="588"/>
      <c r="P19" s="588"/>
      <c r="Q19" s="588"/>
      <c r="R19" s="589"/>
      <c r="S19" s="944"/>
      <c r="T19" s="655"/>
      <c r="U19" s="2482"/>
      <c r="V19" s="2482"/>
      <c r="W19" s="354"/>
      <c r="X19" s="354"/>
      <c r="Y19" s="354"/>
      <c r="Z19" s="354"/>
      <c r="AA19" s="448"/>
      <c r="AB19" s="354"/>
      <c r="AC19" s="2572"/>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2248" customFormat="1" ht="22.5" hidden="1" customHeight="1">
      <c r="A20" s="570"/>
      <c r="B20" s="354"/>
      <c r="C20" s="349"/>
      <c r="D20" s="2578"/>
      <c r="E20" s="2573" t="s">
        <v>614</v>
      </c>
      <c r="F20" s="2573"/>
      <c r="G20" s="2573"/>
      <c r="H20" s="2573"/>
      <c r="I20" s="2573"/>
      <c r="J20" s="2573"/>
      <c r="K20" s="2573"/>
      <c r="L20" s="2573"/>
      <c r="M20" s="2573"/>
      <c r="N20" s="2573"/>
      <c r="O20" s="2573"/>
      <c r="P20" s="2573"/>
      <c r="Q20" s="495">
        <f>SUMIF(T21:T22,"i",Q21:Q22)</f>
        <v>0</v>
      </c>
      <c r="R20" s="941"/>
      <c r="S20" s="646" t="s">
        <v>615</v>
      </c>
      <c r="T20" s="654" t="s">
        <v>613</v>
      </c>
      <c r="U20" s="2482">
        <v>2</v>
      </c>
      <c r="V20" s="2482"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2248" customFormat="1" ht="11.25" hidden="1" customHeight="1">
      <c r="A21" s="645"/>
      <c r="B21" s="448"/>
      <c r="C21" s="448"/>
      <c r="D21" s="2578"/>
      <c r="E21" s="572"/>
      <c r="F21" s="572">
        <v>0</v>
      </c>
      <c r="G21" s="572"/>
      <c r="H21" s="572"/>
      <c r="I21" s="572"/>
      <c r="J21" s="572"/>
      <c r="K21" s="572"/>
      <c r="L21" s="572"/>
      <c r="M21" s="572"/>
      <c r="N21" s="572"/>
      <c r="O21" s="572"/>
      <c r="P21" s="572"/>
      <c r="Q21" s="572"/>
      <c r="R21" s="572"/>
      <c r="S21" s="573"/>
      <c r="T21" s="655"/>
      <c r="U21" s="2482"/>
      <c r="V21" s="2482"/>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2248" customFormat="1" ht="11.25" hidden="1" customHeight="1">
      <c r="A22" s="570"/>
      <c r="B22" s="354"/>
      <c r="C22" s="349"/>
      <c r="D22" s="2579"/>
      <c r="E22" s="586" t="s">
        <v>22</v>
      </c>
      <c r="F22" s="587" t="s">
        <v>22</v>
      </c>
      <c r="G22" s="587" t="s">
        <v>22</v>
      </c>
      <c r="H22" s="588" t="s">
        <v>22</v>
      </c>
      <c r="I22" s="588"/>
      <c r="J22" s="588"/>
      <c r="K22" s="588"/>
      <c r="L22" s="588"/>
      <c r="M22" s="588"/>
      <c r="N22" s="588"/>
      <c r="O22" s="588"/>
      <c r="P22" s="588"/>
      <c r="Q22" s="588"/>
      <c r="R22" s="589"/>
      <c r="S22" s="944"/>
      <c r="T22" s="655"/>
      <c r="U22" s="2482"/>
      <c r="V22" s="2482"/>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1"/>
      <c r="E23" s="971"/>
      <c r="F23" s="971"/>
      <c r="G23" s="971"/>
      <c r="H23" s="971"/>
      <c r="I23" s="971"/>
      <c r="J23" s="971"/>
      <c r="K23" s="971"/>
      <c r="L23" s="971"/>
      <c r="M23" s="971"/>
      <c r="N23" s="971"/>
      <c r="O23" s="971"/>
      <c r="P23" s="971"/>
      <c r="Q23" s="971"/>
      <c r="R23" s="971"/>
      <c r="S23" s="971"/>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581"/>
      <c r="F27" s="2581"/>
      <c r="G27" s="2581"/>
      <c r="H27" s="2581"/>
      <c r="I27" s="2581"/>
      <c r="J27" s="2581"/>
      <c r="K27" s="2581"/>
      <c r="L27" s="2581"/>
      <c r="M27" s="2581"/>
      <c r="N27" s="2581"/>
      <c r="O27" s="2581"/>
      <c r="P27" s="2581"/>
      <c r="Q27" s="2581"/>
      <c r="R27" s="2581"/>
      <c r="CF27" s="442">
        <v>11</v>
      </c>
    </row>
    <row r="28" spans="1:84" ht="11.45" customHeight="1">
      <c r="F28" s="693"/>
      <c r="G28" s="693"/>
      <c r="CF28" s="442">
        <v>11</v>
      </c>
    </row>
    <row r="29" spans="1:84" ht="11.25" hidden="1" customHeight="1">
      <c r="A29" s="547" t="s">
        <v>81</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2279" hidden="1" customWidth="1"/>
    <col min="6" max="6" width="16.85546875" style="2244" hidden="1" customWidth="1"/>
    <col min="7" max="7" width="5.5703125" style="2245" hidden="1" customWidth="1"/>
    <col min="8" max="8" width="3" style="2238" customWidth="1"/>
    <col min="9" max="9" width="7" style="2238" customWidth="1"/>
    <col min="10" max="10" width="56" style="2238" customWidth="1"/>
    <col min="11" max="11" width="10" style="2238" customWidth="1"/>
    <col min="12" max="12" width="40.5703125" style="2238" hidden="1" customWidth="1"/>
    <col min="13" max="13" width="40.7109375" style="2238" customWidth="1"/>
    <col min="14" max="14" width="9.7109375" style="2244" hidden="1" customWidth="1"/>
    <col min="15" max="15" width="102" style="2238" customWidth="1"/>
    <col min="16" max="16" width="9" style="2244" customWidth="1"/>
    <col min="17" max="17" width="5" style="2245" customWidth="1"/>
    <col min="18" max="18" width="3" style="2245" customWidth="1"/>
    <col min="19" max="22" width="3" style="2244" customWidth="1"/>
    <col min="23" max="23" width="10" style="2245" customWidth="1"/>
    <col min="24" max="24" width="34" style="2244" customWidth="1"/>
    <col min="25" max="25" width="9" style="2244" customWidth="1"/>
    <col min="26" max="26" width="8" style="2280" customWidth="1"/>
    <col min="27" max="31" width="8" style="2244" customWidth="1"/>
    <col min="32" max="36" width="8" style="2236" customWidth="1"/>
    <col min="37" max="37" width="5.42578125" style="2238" hidden="1" customWidth="1"/>
  </cols>
  <sheetData>
    <row r="1" spans="1:37" s="2244" customFormat="1" ht="33.75" hidden="1" customHeight="1">
      <c r="A1" s="912"/>
      <c r="B1" s="912"/>
      <c r="C1" s="912"/>
      <c r="D1" s="912"/>
      <c r="E1" s="912"/>
      <c r="G1" s="1555"/>
      <c r="H1" s="805"/>
      <c r="L1" s="1285">
        <v>4</v>
      </c>
      <c r="M1" s="1285">
        <v>4</v>
      </c>
      <c r="Q1" s="1555"/>
      <c r="R1" s="1555"/>
      <c r="W1" s="1555"/>
      <c r="AK1" s="1285" t="s">
        <v>14</v>
      </c>
    </row>
    <row r="2" spans="1:37" s="2244" customFormat="1" ht="78.75" hidden="1" customHeight="1">
      <c r="A2" s="912"/>
      <c r="B2" s="1966" t="s">
        <v>616</v>
      </c>
      <c r="C2" s="1966" t="s">
        <v>617</v>
      </c>
      <c r="D2" s="1965" t="s">
        <v>618</v>
      </c>
      <c r="E2" s="1969" t="e">
        <f>RIGHT(I2,LEN(I2)-SEARCH("#",SUBSTITUTE(I2,".","#",LEN(I2)-LEN(SUBSTITUTE(I2,".","")))))</f>
        <v>#VALUE!</v>
      </c>
      <c r="F2" s="1971">
        <f>J2</f>
        <v>0</v>
      </c>
      <c r="G2" s="1555"/>
      <c r="H2" s="1972"/>
      <c r="I2" s="1962"/>
      <c r="J2" s="477"/>
      <c r="K2" s="1932" t="s">
        <v>554</v>
      </c>
      <c r="L2" s="688"/>
      <c r="M2" s="688"/>
      <c r="N2" s="480"/>
      <c r="O2" s="1444" t="s">
        <v>555</v>
      </c>
      <c r="P2" s="480"/>
      <c r="Q2" s="1555"/>
      <c r="R2" s="1555"/>
      <c r="W2" s="1555"/>
      <c r="Z2" s="481"/>
      <c r="AF2" s="1551"/>
      <c r="AG2" s="1551"/>
      <c r="AH2" s="1551"/>
      <c r="AI2" s="1551"/>
      <c r="AJ2" s="1551"/>
      <c r="AK2" s="1285">
        <v>0</v>
      </c>
    </row>
    <row r="3" spans="1:37" ht="11.25" hidden="1" customHeight="1">
      <c r="E3" s="1964" t="s">
        <v>619</v>
      </c>
      <c r="L3" s="1550">
        <f>0</f>
        <v>0</v>
      </c>
      <c r="M3" s="1550">
        <v>1</v>
      </c>
      <c r="AK3" s="1550">
        <v>0</v>
      </c>
    </row>
    <row r="4" spans="1:37" s="2236" customFormat="1" ht="11.25" hidden="1" customHeight="1">
      <c r="A4" s="912"/>
      <c r="B4" s="912"/>
      <c r="C4" s="912"/>
      <c r="E4" s="912"/>
      <c r="F4" s="1285"/>
      <c r="G4" s="1555"/>
      <c r="H4" s="557"/>
      <c r="N4" s="1285"/>
      <c r="O4" s="1551">
        <v>4</v>
      </c>
      <c r="P4" s="1285"/>
      <c r="Q4" s="1555"/>
      <c r="R4" s="1555"/>
      <c r="S4" s="1285"/>
      <c r="T4" s="1285"/>
      <c r="U4" s="1285"/>
      <c r="V4" s="1285"/>
      <c r="W4" s="1555"/>
      <c r="X4" s="1285"/>
      <c r="Y4" s="1285"/>
      <c r="Z4" s="481"/>
      <c r="AA4" s="1285"/>
      <c r="AB4" s="1285"/>
      <c r="AC4" s="1285"/>
      <c r="AD4" s="1285"/>
      <c r="AE4" s="1285"/>
      <c r="AK4" s="1551">
        <v>0</v>
      </c>
    </row>
    <row r="5" spans="1:37" ht="11.45" customHeight="1">
      <c r="AK5" s="1550">
        <v>11</v>
      </c>
    </row>
    <row r="6" spans="1:37" ht="57.75" customHeight="1">
      <c r="I6" s="2427" t="s">
        <v>620</v>
      </c>
      <c r="J6" s="2427"/>
      <c r="K6" s="2427"/>
      <c r="L6" s="2427"/>
      <c r="M6" s="2427"/>
      <c r="O6" s="493"/>
      <c r="AK6" s="1550">
        <v>55</v>
      </c>
    </row>
    <row r="7" spans="1:37" ht="25.15" customHeight="1">
      <c r="I7" s="2412" t="str">
        <f>IF(org=0,"Не определено",org)</f>
        <v>МУП "Водоканал"</v>
      </c>
      <c r="J7" s="2412"/>
      <c r="K7" s="2412"/>
      <c r="L7" s="2412"/>
      <c r="M7" s="2412"/>
      <c r="AK7" s="1550">
        <v>24</v>
      </c>
    </row>
    <row r="8" spans="1:37" ht="11.45" customHeight="1">
      <c r="I8" s="1055"/>
      <c r="J8" s="1055"/>
      <c r="K8" s="1055"/>
      <c r="L8" s="1055"/>
      <c r="M8" s="1055"/>
      <c r="AK8" s="1550">
        <v>11</v>
      </c>
    </row>
    <row r="9" spans="1:37" s="2245" customFormat="1" ht="30" hidden="1" customHeight="1">
      <c r="A9" s="1086"/>
      <c r="B9" s="1086"/>
      <c r="C9" s="1086"/>
      <c r="E9" s="1086"/>
      <c r="H9" s="1561"/>
      <c r="L9" s="815"/>
      <c r="M9" s="815" t="s">
        <v>116</v>
      </c>
      <c r="AK9" s="1555">
        <v>1</v>
      </c>
    </row>
    <row r="10" spans="1:37" ht="11.45" customHeight="1">
      <c r="E10" s="1963" t="s">
        <v>621</v>
      </c>
      <c r="I10" s="648"/>
      <c r="J10" s="2566" t="s">
        <v>104</v>
      </c>
      <c r="K10" s="2567"/>
      <c r="L10" s="1942" t="str">
        <f>IF(L9="","",INDEX(DIFFERENTIATION_UNMERGE_VD,MATCH(L9,DIFFERENTIATION_ID_DIFF,0)))</f>
        <v/>
      </c>
      <c r="M10" s="1942" t="str">
        <f>IF(M9="","",INDEX(DIFFERENTIATION_UNMERGE_VD,MATCH(M9,DIFFERENTIATION_ID_DIFF,0)))</f>
        <v>Водоотведение</v>
      </c>
      <c r="O10" s="2363" t="s">
        <v>299</v>
      </c>
      <c r="AK10" s="1550">
        <v>11</v>
      </c>
    </row>
    <row r="11" spans="1:37" ht="11.45" customHeight="1">
      <c r="E11" s="1963" t="s">
        <v>622</v>
      </c>
      <c r="I11" s="648"/>
      <c r="J11" s="2566" t="s">
        <v>562</v>
      </c>
      <c r="K11" s="2567"/>
      <c r="L11" s="1942" t="str">
        <f>IF(L9="","",INDEX(DIFFERENTIATION_UNMERGE_AREA,MATCH(L9,DIFFERENTIATION_ID_DIFF,0)))</f>
        <v/>
      </c>
      <c r="M11" s="1942" t="str">
        <f>IF(M9="","",INDEX(DIFFERENTIATION_UNMERGE_AREA,MATCH(M9,DIFFERENTIATION_ID_DIFF,0)))</f>
        <v>Территория 1</v>
      </c>
      <c r="O11" s="2363"/>
      <c r="AK11" s="1550">
        <v>11</v>
      </c>
    </row>
    <row r="12" spans="1:37" ht="11.45" customHeight="1">
      <c r="E12" s="1963" t="s">
        <v>623</v>
      </c>
      <c r="I12" s="1581"/>
      <c r="J12" s="2566" t="s">
        <v>563</v>
      </c>
      <c r="K12" s="2567"/>
      <c r="L12" s="1942" t="str">
        <f>IF(L9="","",INDEX(DIFFERENTIATION_UNMERGE_SYSTEM,MATCH(L9,DIFFERENTIATION_ID_DIFF,0)))</f>
        <v/>
      </c>
      <c r="M12" s="1942" t="str">
        <f>IF(M9="","",INDEX(DIFFERENTIATION_UNMERGE_SYSTEM,MATCH(M9,DIFFERENTIATION_ID_DIFF,0)))</f>
        <v>без дифференциации</v>
      </c>
      <c r="O12" s="2363"/>
      <c r="AK12" s="1550">
        <v>11</v>
      </c>
    </row>
    <row r="13" spans="1:37" ht="11.45" customHeight="1">
      <c r="E13" s="1963" t="s">
        <v>624</v>
      </c>
      <c r="F13" s="1963" t="s">
        <v>625</v>
      </c>
      <c r="I13" s="2568" t="s">
        <v>298</v>
      </c>
      <c r="J13" s="2569"/>
      <c r="K13" s="2569"/>
      <c r="L13" s="1940"/>
      <c r="M13" s="1980"/>
      <c r="O13" s="2363"/>
      <c r="AK13" s="1550">
        <v>11</v>
      </c>
    </row>
    <row r="14" spans="1:37" ht="24" customHeight="1">
      <c r="I14" s="1933" t="s">
        <v>87</v>
      </c>
      <c r="J14" s="1933" t="s">
        <v>300</v>
      </c>
      <c r="K14" s="1933" t="s">
        <v>564</v>
      </c>
      <c r="L14" s="1973" t="s">
        <v>301</v>
      </c>
      <c r="M14" s="1974" t="s">
        <v>301</v>
      </c>
      <c r="O14" s="2363"/>
      <c r="AK14" s="1550">
        <v>23</v>
      </c>
    </row>
    <row r="15" spans="1:37" ht="24" customHeight="1">
      <c r="A15" s="1967"/>
      <c r="B15" s="1966" t="s">
        <v>626</v>
      </c>
      <c r="C15" s="1966" t="s">
        <v>627</v>
      </c>
      <c r="D15" s="1965" t="s">
        <v>628</v>
      </c>
      <c r="E15" s="1969" t="s">
        <v>629</v>
      </c>
      <c r="F15" s="1969" t="s">
        <v>629</v>
      </c>
      <c r="G15" s="1555" t="s">
        <v>589</v>
      </c>
      <c r="H15" s="1934"/>
      <c r="I15" s="1549">
        <v>1</v>
      </c>
      <c r="J15" s="1935" t="s">
        <v>630</v>
      </c>
      <c r="K15" s="1933" t="s">
        <v>304</v>
      </c>
      <c r="L15" s="599"/>
      <c r="M15" s="749"/>
      <c r="N15" s="480" t="s">
        <v>631</v>
      </c>
      <c r="O15" s="1444" t="s">
        <v>632</v>
      </c>
      <c r="P15" s="480" t="s">
        <v>631</v>
      </c>
      <c r="AK15" s="1550">
        <v>23</v>
      </c>
    </row>
    <row r="16" spans="1:37" ht="35.65" customHeight="1">
      <c r="A16" s="1967"/>
      <c r="B16" s="1966" t="s">
        <v>633</v>
      </c>
      <c r="C16" s="1966" t="s">
        <v>634</v>
      </c>
      <c r="D16" s="1965" t="s">
        <v>618</v>
      </c>
      <c r="E16" s="1969" t="s">
        <v>629</v>
      </c>
      <c r="F16" s="1969" t="s">
        <v>629</v>
      </c>
      <c r="H16" s="1934"/>
      <c r="I16" s="1548">
        <v>2</v>
      </c>
      <c r="J16" s="1976" t="s">
        <v>635</v>
      </c>
      <c r="K16" s="1975" t="s">
        <v>554</v>
      </c>
      <c r="L16" s="1981"/>
      <c r="M16" s="1595"/>
      <c r="N16" s="480" t="s">
        <v>631</v>
      </c>
      <c r="O16" s="1444" t="s">
        <v>636</v>
      </c>
      <c r="P16" s="480" t="s">
        <v>631</v>
      </c>
      <c r="AK16" s="1550">
        <v>34</v>
      </c>
    </row>
    <row r="17" spans="1:37" s="2245" customFormat="1" ht="17.25" hidden="1" customHeight="1">
      <c r="A17" s="1086"/>
      <c r="B17" s="1086"/>
      <c r="C17" s="1086"/>
      <c r="D17" s="1086"/>
      <c r="E17" s="1086"/>
      <c r="H17" s="1243"/>
      <c r="I17" s="937" t="s">
        <v>637</v>
      </c>
      <c r="J17" s="916"/>
      <c r="K17" s="937"/>
      <c r="L17" s="917"/>
      <c r="M17" s="917"/>
      <c r="O17" s="1304"/>
      <c r="AK17" s="1555">
        <v>1</v>
      </c>
    </row>
    <row r="18" spans="1:37" s="2244" customFormat="1" ht="24" customHeight="1">
      <c r="A18" s="912"/>
      <c r="B18" s="912"/>
      <c r="C18" s="912"/>
      <c r="D18" s="912"/>
      <c r="E18" s="912"/>
      <c r="G18" s="1555"/>
      <c r="H18" s="1552"/>
      <c r="I18" s="507"/>
      <c r="J18" s="508" t="s">
        <v>587</v>
      </c>
      <c r="K18" s="509"/>
      <c r="L18" s="1983"/>
      <c r="M18" s="510"/>
      <c r="N18" s="480"/>
      <c r="O18" s="1444" t="s">
        <v>588</v>
      </c>
      <c r="P18" s="480"/>
      <c r="Q18" s="1555"/>
      <c r="R18" s="1555"/>
      <c r="W18" s="1555"/>
      <c r="Z18" s="481"/>
      <c r="AF18" s="1551"/>
      <c r="AG18" s="1551"/>
      <c r="AH18" s="1551"/>
      <c r="AI18" s="1551"/>
      <c r="AJ18" s="1551"/>
      <c r="AK18" s="1285">
        <v>23</v>
      </c>
    </row>
    <row r="19" spans="1:37" ht="19.899999999999999" customHeight="1">
      <c r="A19" s="1967"/>
      <c r="B19" s="1966" t="s">
        <v>638</v>
      </c>
      <c r="C19" s="1966" t="s">
        <v>639</v>
      </c>
      <c r="D19" s="1965" t="s">
        <v>618</v>
      </c>
      <c r="E19" s="1969" t="s">
        <v>629</v>
      </c>
      <c r="F19" s="1969" t="s">
        <v>629</v>
      </c>
      <c r="H19" s="1934"/>
      <c r="I19" s="1583">
        <v>3</v>
      </c>
      <c r="J19" s="1935" t="s">
        <v>639</v>
      </c>
      <c r="K19" s="1931" t="s">
        <v>554</v>
      </c>
      <c r="L19" s="664"/>
      <c r="M19" s="494"/>
      <c r="N19" s="480"/>
      <c r="O19" s="1444" t="s">
        <v>640</v>
      </c>
      <c r="P19" s="480"/>
      <c r="AK19" s="1550">
        <v>19</v>
      </c>
    </row>
    <row r="20" spans="1:37" ht="77.650000000000006" customHeight="1">
      <c r="A20" s="1967"/>
      <c r="B20" s="1966" t="s">
        <v>641</v>
      </c>
      <c r="C20" s="1966" t="s">
        <v>642</v>
      </c>
      <c r="D20" s="1965" t="s">
        <v>618</v>
      </c>
      <c r="E20" s="1969" t="s">
        <v>629</v>
      </c>
      <c r="F20" s="1969" t="s">
        <v>629</v>
      </c>
      <c r="H20" s="1934"/>
      <c r="I20" s="1583">
        <v>4</v>
      </c>
      <c r="J20" s="1935" t="s">
        <v>643</v>
      </c>
      <c r="K20" s="1931" t="s">
        <v>584</v>
      </c>
      <c r="L20" s="664"/>
      <c r="M20" s="494"/>
      <c r="N20" s="480"/>
      <c r="O20" s="1444"/>
      <c r="P20" s="480"/>
      <c r="AK20" s="1550">
        <v>74</v>
      </c>
    </row>
    <row r="21" spans="1:37" ht="35.65" customHeight="1">
      <c r="A21" s="1967"/>
      <c r="B21" s="1966" t="s">
        <v>644</v>
      </c>
      <c r="C21" s="1966" t="s">
        <v>645</v>
      </c>
      <c r="D21" s="1965" t="s">
        <v>618</v>
      </c>
      <c r="E21" s="1969" t="s">
        <v>629</v>
      </c>
      <c r="F21" s="1969" t="s">
        <v>629</v>
      </c>
      <c r="H21" s="1934"/>
      <c r="I21" s="1583">
        <v>5</v>
      </c>
      <c r="J21" s="1935" t="s">
        <v>646</v>
      </c>
      <c r="K21" s="1931" t="s">
        <v>584</v>
      </c>
      <c r="L21" s="664"/>
      <c r="M21" s="494"/>
      <c r="N21" s="480"/>
      <c r="O21" s="1444" t="s">
        <v>640</v>
      </c>
      <c r="P21" s="480"/>
      <c r="AK21" s="1550">
        <v>34</v>
      </c>
    </row>
    <row r="22" spans="1:37" ht="48.2" customHeight="1">
      <c r="A22" s="1967"/>
      <c r="B22" s="1966" t="s">
        <v>647</v>
      </c>
      <c r="C22" s="1966" t="s">
        <v>648</v>
      </c>
      <c r="D22" s="1965" t="s">
        <v>618</v>
      </c>
      <c r="E22" s="1969" t="s">
        <v>629</v>
      </c>
      <c r="F22" s="1969" t="s">
        <v>629</v>
      </c>
      <c r="H22" s="1934"/>
      <c r="I22" s="1583">
        <v>6</v>
      </c>
      <c r="J22" s="1935" t="s">
        <v>649</v>
      </c>
      <c r="K22" s="1931" t="s">
        <v>584</v>
      </c>
      <c r="L22" s="664"/>
      <c r="M22" s="494"/>
      <c r="N22" s="480"/>
      <c r="O22" s="1444" t="s">
        <v>650</v>
      </c>
      <c r="P22" s="480"/>
      <c r="AK22" s="1550">
        <v>46</v>
      </c>
    </row>
    <row r="23" spans="1:37" ht="19.899999999999999" customHeight="1">
      <c r="A23" s="1967"/>
      <c r="B23" s="1966" t="s">
        <v>651</v>
      </c>
      <c r="C23" s="1966" t="s">
        <v>652</v>
      </c>
      <c r="D23" s="1965" t="s">
        <v>618</v>
      </c>
      <c r="E23" s="1969" t="s">
        <v>629</v>
      </c>
      <c r="F23" s="1969" t="s">
        <v>629</v>
      </c>
      <c r="H23" s="1934"/>
      <c r="I23" s="1583" t="s">
        <v>653</v>
      </c>
      <c r="J23" s="1443" t="s">
        <v>654</v>
      </c>
      <c r="K23" s="1931" t="s">
        <v>584</v>
      </c>
      <c r="L23" s="664"/>
      <c r="M23" s="494"/>
      <c r="N23" s="480"/>
      <c r="O23" s="1444" t="s">
        <v>640</v>
      </c>
      <c r="P23" s="480"/>
      <c r="AK23" s="1550">
        <v>19</v>
      </c>
    </row>
    <row r="24" spans="1:37" ht="19.899999999999999" customHeight="1">
      <c r="A24" s="1967"/>
      <c r="B24" s="1966" t="s">
        <v>655</v>
      </c>
      <c r="C24" s="1966" t="s">
        <v>656</v>
      </c>
      <c r="D24" s="1965" t="s">
        <v>618</v>
      </c>
      <c r="E24" s="1969" t="s">
        <v>629</v>
      </c>
      <c r="F24" s="1969" t="s">
        <v>629</v>
      </c>
      <c r="H24" s="1934"/>
      <c r="I24" s="1583" t="s">
        <v>657</v>
      </c>
      <c r="J24" s="1443" t="s">
        <v>658</v>
      </c>
      <c r="K24" s="1931" t="s">
        <v>584</v>
      </c>
      <c r="L24" s="664"/>
      <c r="M24" s="494"/>
      <c r="N24" s="480"/>
      <c r="O24" s="1444"/>
      <c r="P24" s="480"/>
      <c r="AK24" s="1550">
        <v>19</v>
      </c>
    </row>
    <row r="25" spans="1:37" ht="24" customHeight="1">
      <c r="A25" s="1967"/>
      <c r="B25" s="1966" t="s">
        <v>659</v>
      </c>
      <c r="C25" s="1966" t="s">
        <v>660</v>
      </c>
      <c r="D25" s="1965" t="s">
        <v>618</v>
      </c>
      <c r="E25" s="1969" t="s">
        <v>629</v>
      </c>
      <c r="F25" s="1969" t="s">
        <v>629</v>
      </c>
      <c r="H25" s="1934"/>
      <c r="I25" s="1583" t="s">
        <v>661</v>
      </c>
      <c r="J25" s="1443" t="s">
        <v>662</v>
      </c>
      <c r="K25" s="1931" t="s">
        <v>584</v>
      </c>
      <c r="L25" s="664"/>
      <c r="M25" s="494"/>
      <c r="N25" s="480"/>
      <c r="O25" s="1444"/>
      <c r="P25" s="480"/>
      <c r="AK25" s="1550">
        <v>23</v>
      </c>
    </row>
    <row r="26" spans="1:37" ht="24" customHeight="1">
      <c r="A26" s="1967"/>
      <c r="B26" s="1966" t="s">
        <v>663</v>
      </c>
      <c r="C26" s="1966" t="s">
        <v>664</v>
      </c>
      <c r="D26" s="1965" t="s">
        <v>618</v>
      </c>
      <c r="E26" s="1969" t="s">
        <v>629</v>
      </c>
      <c r="F26" s="1969" t="s">
        <v>629</v>
      </c>
      <c r="H26" s="1934"/>
      <c r="I26" s="1583">
        <v>7</v>
      </c>
      <c r="J26" s="1935" t="s">
        <v>664</v>
      </c>
      <c r="K26" s="1931" t="s">
        <v>665</v>
      </c>
      <c r="L26" s="664"/>
      <c r="M26" s="494"/>
      <c r="N26" s="480"/>
      <c r="O26" s="1444"/>
      <c r="P26" s="480"/>
      <c r="AK26" s="1550">
        <v>23</v>
      </c>
    </row>
    <row r="27" spans="1:37" ht="24" customHeight="1">
      <c r="A27" s="1967"/>
      <c r="B27" s="1966" t="s">
        <v>666</v>
      </c>
      <c r="C27" s="1966" t="s">
        <v>667</v>
      </c>
      <c r="D27" s="1965" t="s">
        <v>618</v>
      </c>
      <c r="E27" s="1969" t="s">
        <v>629</v>
      </c>
      <c r="F27" s="1969" t="s">
        <v>629</v>
      </c>
      <c r="H27" s="1934"/>
      <c r="I27" s="1583">
        <v>8</v>
      </c>
      <c r="J27" s="1935" t="s">
        <v>667</v>
      </c>
      <c r="K27" s="1931" t="s">
        <v>590</v>
      </c>
      <c r="L27" s="664"/>
      <c r="M27" s="494"/>
      <c r="N27" s="480"/>
      <c r="O27" s="1444"/>
      <c r="P27" s="480"/>
      <c r="AK27" s="1550">
        <v>23</v>
      </c>
    </row>
    <row r="28" spans="1:37" ht="35.65" customHeight="1">
      <c r="A28" s="1967"/>
      <c r="B28" s="1966" t="s">
        <v>668</v>
      </c>
      <c r="C28" s="1966" t="s">
        <v>669</v>
      </c>
      <c r="D28" s="1965" t="s">
        <v>618</v>
      </c>
      <c r="E28" s="1969" t="s">
        <v>629</v>
      </c>
      <c r="F28" s="1969" t="s">
        <v>629</v>
      </c>
      <c r="H28" s="1934"/>
      <c r="I28" s="1594">
        <v>9</v>
      </c>
      <c r="J28" s="1935" t="s">
        <v>670</v>
      </c>
      <c r="K28" s="1931" t="s">
        <v>558</v>
      </c>
      <c r="L28" s="664"/>
      <c r="M28" s="494"/>
      <c r="N28" s="480"/>
      <c r="O28" s="1444"/>
      <c r="P28" s="480"/>
      <c r="AK28" s="1550">
        <v>34</v>
      </c>
    </row>
    <row r="29" spans="1:37" ht="35.65" customHeight="1">
      <c r="A29" s="1967"/>
      <c r="B29" s="1966" t="s">
        <v>671</v>
      </c>
      <c r="C29" s="1966" t="s">
        <v>672</v>
      </c>
      <c r="D29" s="1965" t="s">
        <v>618</v>
      </c>
      <c r="E29" s="1969" t="s">
        <v>629</v>
      </c>
      <c r="F29" s="1969" t="s">
        <v>629</v>
      </c>
      <c r="H29" s="1934"/>
      <c r="I29" s="1594">
        <v>10</v>
      </c>
      <c r="J29" s="1935" t="s">
        <v>673</v>
      </c>
      <c r="K29" s="1931" t="s">
        <v>558</v>
      </c>
      <c r="L29" s="664"/>
      <c r="M29" s="494"/>
      <c r="N29" s="480"/>
      <c r="O29" s="1444"/>
      <c r="P29" s="480"/>
      <c r="AK29" s="1550">
        <v>34</v>
      </c>
    </row>
    <row r="30" spans="1:37" ht="24" customHeight="1">
      <c r="A30" s="1967"/>
      <c r="B30" s="1966" t="s">
        <v>674</v>
      </c>
      <c r="C30" s="1966" t="s">
        <v>675</v>
      </c>
      <c r="D30" s="1965" t="s">
        <v>618</v>
      </c>
      <c r="E30" s="1969" t="s">
        <v>629</v>
      </c>
      <c r="F30" s="1969" t="s">
        <v>629</v>
      </c>
      <c r="H30" s="1934"/>
      <c r="I30" s="1594">
        <v>11</v>
      </c>
      <c r="J30" s="1935" t="s">
        <v>675</v>
      </c>
      <c r="K30" s="1931" t="s">
        <v>591</v>
      </c>
      <c r="L30" s="1982"/>
      <c r="M30" s="1540"/>
      <c r="N30" s="480"/>
      <c r="O30" s="1444"/>
      <c r="P30" s="480"/>
      <c r="AK30" s="1550">
        <v>23</v>
      </c>
    </row>
    <row r="31" spans="1:37" ht="24" customHeight="1">
      <c r="A31" s="1967"/>
      <c r="B31" s="1966" t="s">
        <v>676</v>
      </c>
      <c r="C31" s="1966" t="s">
        <v>677</v>
      </c>
      <c r="D31" s="1965" t="s">
        <v>618</v>
      </c>
      <c r="E31" s="1969" t="s">
        <v>629</v>
      </c>
      <c r="F31" s="1969" t="s">
        <v>629</v>
      </c>
      <c r="H31" s="1934"/>
      <c r="I31" s="1594">
        <v>12</v>
      </c>
      <c r="J31" s="1935" t="s">
        <v>677</v>
      </c>
      <c r="K31" s="1931" t="s">
        <v>591</v>
      </c>
      <c r="L31" s="1982"/>
      <c r="M31" s="1540"/>
      <c r="N31" s="480"/>
      <c r="O31" s="1444"/>
      <c r="P31" s="480"/>
      <c r="AK31" s="1550">
        <v>23</v>
      </c>
    </row>
    <row r="32" spans="1:37" ht="48.2" customHeight="1">
      <c r="A32" s="1967"/>
      <c r="B32" s="1966" t="s">
        <v>678</v>
      </c>
      <c r="C32" s="1966" t="s">
        <v>679</v>
      </c>
      <c r="D32" s="1965" t="s">
        <v>618</v>
      </c>
      <c r="E32" s="1969" t="s">
        <v>629</v>
      </c>
      <c r="F32" s="1969" t="s">
        <v>629</v>
      </c>
      <c r="H32" s="1934"/>
      <c r="I32" s="1594">
        <v>13</v>
      </c>
      <c r="J32" s="1935" t="s">
        <v>680</v>
      </c>
      <c r="K32" s="1931" t="s">
        <v>601</v>
      </c>
      <c r="L32" s="664"/>
      <c r="M32" s="494"/>
      <c r="N32" s="480"/>
      <c r="O32" s="1444" t="s">
        <v>640</v>
      </c>
      <c r="P32" s="480"/>
      <c r="AK32" s="1550">
        <v>46</v>
      </c>
    </row>
    <row r="33" spans="1:37" s="2244" customFormat="1" ht="48.2" customHeight="1">
      <c r="A33" s="1967"/>
      <c r="B33" s="1966" t="s">
        <v>681</v>
      </c>
      <c r="C33" s="1966" t="s">
        <v>682</v>
      </c>
      <c r="D33" s="1965" t="s">
        <v>618</v>
      </c>
      <c r="E33" s="1969" t="s">
        <v>629</v>
      </c>
      <c r="F33" s="1969" t="s">
        <v>629</v>
      </c>
      <c r="G33" s="1555"/>
      <c r="H33" s="1934"/>
      <c r="I33" s="1594">
        <v>14</v>
      </c>
      <c r="J33" s="1947" t="s">
        <v>683</v>
      </c>
      <c r="K33" s="1936" t="s">
        <v>684</v>
      </c>
      <c r="L33" s="664"/>
      <c r="M33" s="494"/>
      <c r="N33" s="480"/>
      <c r="O33" s="1444" t="s">
        <v>640</v>
      </c>
      <c r="P33" s="480"/>
      <c r="Q33" s="1555"/>
      <c r="R33" s="1555"/>
      <c r="W33" s="1555"/>
      <c r="Z33" s="481"/>
      <c r="AF33" s="1551"/>
      <c r="AG33" s="1551"/>
      <c r="AH33" s="1551"/>
      <c r="AI33" s="1551"/>
      <c r="AJ33" s="1551"/>
      <c r="AK33" s="1285">
        <v>46</v>
      </c>
    </row>
    <row r="34" spans="1:37" ht="108" customHeight="1">
      <c r="A34" s="1967"/>
      <c r="B34" s="1966" t="s">
        <v>685</v>
      </c>
      <c r="C34" s="1966" t="s">
        <v>686</v>
      </c>
      <c r="D34" s="1965" t="s">
        <v>628</v>
      </c>
      <c r="E34" s="1969" t="s">
        <v>629</v>
      </c>
      <c r="F34" s="1969" t="s">
        <v>629</v>
      </c>
      <c r="G34" s="1555" t="s">
        <v>589</v>
      </c>
      <c r="H34" s="1934"/>
      <c r="I34" s="1945">
        <v>15</v>
      </c>
      <c r="J34" s="1946" t="s">
        <v>687</v>
      </c>
      <c r="K34" s="1931" t="s">
        <v>304</v>
      </c>
      <c r="L34" s="322"/>
      <c r="M34" s="1083"/>
      <c r="N34" s="480"/>
      <c r="O34" s="1444" t="s">
        <v>632</v>
      </c>
      <c r="P34" s="480"/>
      <c r="AK34" s="1550">
        <v>103</v>
      </c>
    </row>
    <row r="35" spans="1:37" s="2269" customFormat="1" ht="11.45" customHeight="1">
      <c r="A35" s="912"/>
      <c r="B35" s="912"/>
      <c r="C35" s="912"/>
      <c r="D35" s="912"/>
      <c r="E35" s="912"/>
      <c r="F35" s="1555"/>
      <c r="G35" s="1555"/>
      <c r="H35" s="288"/>
      <c r="N35" s="1285"/>
      <c r="P35" s="1285"/>
      <c r="Q35" s="1555"/>
      <c r="R35" s="1555"/>
      <c r="S35" s="1285"/>
      <c r="T35" s="1285"/>
      <c r="U35" s="1285"/>
      <c r="V35" s="1285"/>
      <c r="W35" s="1555"/>
      <c r="X35" s="1285"/>
      <c r="Y35" s="1285"/>
      <c r="Z35" s="481"/>
      <c r="AA35" s="1285"/>
      <c r="AB35" s="1285"/>
      <c r="AC35" s="1285"/>
      <c r="AD35" s="1285"/>
      <c r="AE35" s="1285"/>
      <c r="AF35" s="1551"/>
      <c r="AG35" s="559"/>
      <c r="AH35" s="559"/>
      <c r="AI35" s="559"/>
      <c r="AJ35" s="559"/>
      <c r="AK35" s="1560">
        <v>11</v>
      </c>
    </row>
    <row r="36" spans="1:37" s="2269" customFormat="1" ht="11.45" customHeight="1">
      <c r="A36" s="912"/>
      <c r="B36" s="912"/>
      <c r="C36" s="912"/>
      <c r="D36" s="912"/>
      <c r="E36" s="912"/>
      <c r="F36" s="1555"/>
      <c r="G36" s="1555"/>
      <c r="H36" s="288"/>
      <c r="N36" s="1285"/>
      <c r="P36" s="1285"/>
      <c r="Q36" s="1555"/>
      <c r="R36" s="1555"/>
      <c r="S36" s="1285"/>
      <c r="T36" s="1285"/>
      <c r="U36" s="1285"/>
      <c r="V36" s="1285"/>
      <c r="W36" s="1555"/>
      <c r="X36" s="1285"/>
      <c r="Y36" s="1285"/>
      <c r="Z36" s="481"/>
      <c r="AA36" s="1285"/>
      <c r="AB36" s="1285"/>
      <c r="AC36" s="1285"/>
      <c r="AD36" s="1285"/>
      <c r="AE36" s="1285"/>
      <c r="AF36" s="1551"/>
      <c r="AG36" s="559"/>
      <c r="AH36" s="559"/>
      <c r="AI36" s="559"/>
      <c r="AJ36" s="559"/>
      <c r="AK36" s="1560">
        <v>11</v>
      </c>
    </row>
    <row r="37" spans="1:37" s="2269" customFormat="1" ht="11.45" customHeight="1">
      <c r="A37" s="912"/>
      <c r="B37" s="912"/>
      <c r="C37" s="912"/>
      <c r="D37" s="912"/>
      <c r="E37" s="912"/>
      <c r="F37" s="1555"/>
      <c r="G37" s="1555"/>
      <c r="H37" s="288"/>
      <c r="L37" s="559"/>
      <c r="M37" s="559"/>
      <c r="N37" s="1285"/>
      <c r="P37" s="1285"/>
      <c r="Q37" s="1555"/>
      <c r="R37" s="1555"/>
      <c r="S37" s="1285"/>
      <c r="T37" s="1285"/>
      <c r="U37" s="1285"/>
      <c r="V37" s="1285"/>
      <c r="W37" s="1555"/>
      <c r="X37" s="1285"/>
      <c r="Y37" s="1285"/>
      <c r="Z37" s="481"/>
      <c r="AA37" s="1285"/>
      <c r="AB37" s="1285"/>
      <c r="AC37" s="1285"/>
      <c r="AD37" s="1285"/>
      <c r="AE37" s="1285"/>
      <c r="AF37" s="1551"/>
      <c r="AG37" s="559"/>
      <c r="AH37" s="559"/>
      <c r="AI37" s="559"/>
      <c r="AJ37" s="559"/>
      <c r="AK37" s="1560">
        <v>11</v>
      </c>
    </row>
    <row r="38" spans="1:37" s="2269" customFormat="1" ht="11.45" customHeight="1">
      <c r="A38" s="912"/>
      <c r="B38" s="912"/>
      <c r="C38" s="912"/>
      <c r="D38" s="912"/>
      <c r="E38" s="912"/>
      <c r="F38" s="1555"/>
      <c r="G38" s="1555"/>
      <c r="H38" s="288"/>
      <c r="N38" s="1285"/>
      <c r="P38" s="1285"/>
      <c r="Q38" s="1555"/>
      <c r="R38" s="1555"/>
      <c r="S38" s="1285"/>
      <c r="T38" s="1285"/>
      <c r="U38" s="1285"/>
      <c r="V38" s="1285"/>
      <c r="W38" s="1555"/>
      <c r="X38" s="1285"/>
      <c r="Y38" s="1285"/>
      <c r="Z38" s="481"/>
      <c r="AA38" s="1285"/>
      <c r="AB38" s="1285"/>
      <c r="AC38" s="1285"/>
      <c r="AD38" s="1285"/>
      <c r="AE38" s="1285"/>
      <c r="AF38" s="1551"/>
      <c r="AG38" s="559"/>
      <c r="AH38" s="559"/>
      <c r="AI38" s="559"/>
      <c r="AJ38" s="559"/>
      <c r="AK38" s="1560">
        <v>11</v>
      </c>
    </row>
    <row r="39" spans="1:37" s="2269" customFormat="1" ht="11.45" customHeight="1">
      <c r="A39" s="912"/>
      <c r="B39" s="912"/>
      <c r="C39" s="912"/>
      <c r="D39" s="912"/>
      <c r="E39" s="912"/>
      <c r="F39" s="1555"/>
      <c r="G39" s="1555"/>
      <c r="H39" s="288"/>
      <c r="N39" s="1285"/>
      <c r="P39" s="1285"/>
      <c r="Q39" s="1555"/>
      <c r="R39" s="1555"/>
      <c r="S39" s="1285"/>
      <c r="T39" s="1285"/>
      <c r="U39" s="1285"/>
      <c r="V39" s="1285"/>
      <c r="W39" s="1555"/>
      <c r="X39" s="1285"/>
      <c r="Y39" s="1285"/>
      <c r="Z39" s="481"/>
      <c r="AA39" s="1285"/>
      <c r="AB39" s="1285"/>
      <c r="AC39" s="1285"/>
      <c r="AD39" s="1285"/>
      <c r="AE39" s="1285"/>
      <c r="AF39" s="1551"/>
      <c r="AG39" s="559"/>
      <c r="AH39" s="559"/>
      <c r="AI39" s="559"/>
      <c r="AJ39" s="559"/>
      <c r="AK39" s="1560">
        <v>11</v>
      </c>
    </row>
    <row r="40" spans="1:37" s="2269" customFormat="1" ht="11.45" customHeight="1">
      <c r="A40" s="912"/>
      <c r="B40" s="912"/>
      <c r="C40" s="912"/>
      <c r="D40" s="912"/>
      <c r="E40" s="912"/>
      <c r="F40" s="1555"/>
      <c r="G40" s="1555"/>
      <c r="H40" s="288"/>
      <c r="N40" s="1285"/>
      <c r="P40" s="1285"/>
      <c r="Q40" s="1555"/>
      <c r="R40" s="1555"/>
      <c r="S40" s="1285"/>
      <c r="T40" s="1285"/>
      <c r="U40" s="1285"/>
      <c r="V40" s="1285"/>
      <c r="W40" s="1555"/>
      <c r="X40" s="1285"/>
      <c r="Y40" s="1285"/>
      <c r="Z40" s="481"/>
      <c r="AA40" s="1285"/>
      <c r="AB40" s="1285"/>
      <c r="AC40" s="1285"/>
      <c r="AD40" s="1285"/>
      <c r="AE40" s="1285"/>
      <c r="AF40" s="1551"/>
      <c r="AG40" s="559"/>
      <c r="AH40" s="559"/>
      <c r="AI40" s="559"/>
      <c r="AJ40" s="559"/>
      <c r="AK40" s="1560">
        <v>11</v>
      </c>
    </row>
    <row r="41" spans="1:37" s="2269" customFormat="1" ht="11.45" customHeight="1">
      <c r="A41" s="912"/>
      <c r="B41" s="912"/>
      <c r="C41" s="912"/>
      <c r="D41" s="912"/>
      <c r="E41" s="912"/>
      <c r="F41" s="1555"/>
      <c r="G41" s="1555"/>
      <c r="H41" s="288"/>
      <c r="N41" s="1285"/>
      <c r="P41" s="1285"/>
      <c r="Q41" s="1555"/>
      <c r="R41" s="1555"/>
      <c r="S41" s="1285"/>
      <c r="T41" s="1285"/>
      <c r="U41" s="1285"/>
      <c r="V41" s="1285"/>
      <c r="W41" s="1555"/>
      <c r="X41" s="1285"/>
      <c r="Y41" s="1285"/>
      <c r="Z41" s="481"/>
      <c r="AA41" s="1285"/>
      <c r="AB41" s="1285"/>
      <c r="AC41" s="1285"/>
      <c r="AD41" s="1285"/>
      <c r="AE41" s="1285"/>
      <c r="AF41" s="1551"/>
      <c r="AG41" s="559"/>
      <c r="AH41" s="559"/>
      <c r="AI41" s="559"/>
      <c r="AJ41" s="559"/>
      <c r="AK41" s="1560">
        <v>11</v>
      </c>
    </row>
    <row r="42" spans="1:37" s="2269" customFormat="1" ht="11.45" customHeight="1">
      <c r="A42" s="912"/>
      <c r="B42" s="912"/>
      <c r="C42" s="912"/>
      <c r="D42" s="912"/>
      <c r="E42" s="912"/>
      <c r="F42" s="1555"/>
      <c r="G42" s="1555"/>
      <c r="H42" s="288"/>
      <c r="N42" s="1285"/>
      <c r="P42" s="1285"/>
      <c r="Q42" s="1555"/>
      <c r="R42" s="1555"/>
      <c r="S42" s="1285"/>
      <c r="T42" s="1285"/>
      <c r="U42" s="1285"/>
      <c r="V42" s="1285"/>
      <c r="W42" s="1555"/>
      <c r="X42" s="1285"/>
      <c r="Y42" s="1285"/>
      <c r="Z42" s="481"/>
      <c r="AA42" s="1285"/>
      <c r="AB42" s="1285"/>
      <c r="AC42" s="1285"/>
      <c r="AD42" s="1285"/>
      <c r="AE42" s="1285"/>
      <c r="AF42" s="1551"/>
      <c r="AG42" s="559"/>
      <c r="AH42" s="559"/>
      <c r="AI42" s="559"/>
      <c r="AJ42" s="559"/>
      <c r="AK42" s="1560">
        <v>11</v>
      </c>
    </row>
    <row r="43" spans="1:37" s="2269" customFormat="1" ht="11.45" customHeight="1">
      <c r="A43" s="912"/>
      <c r="B43" s="912"/>
      <c r="C43" s="912"/>
      <c r="D43" s="912"/>
      <c r="E43" s="912"/>
      <c r="F43" s="1555"/>
      <c r="G43" s="1555"/>
      <c r="H43" s="288"/>
      <c r="N43" s="1285"/>
      <c r="P43" s="1285"/>
      <c r="Q43" s="1555"/>
      <c r="R43" s="1555"/>
      <c r="S43" s="1285"/>
      <c r="T43" s="1285"/>
      <c r="U43" s="1285"/>
      <c r="V43" s="1285"/>
      <c r="W43" s="1555"/>
      <c r="X43" s="1285"/>
      <c r="Y43" s="1285"/>
      <c r="Z43" s="481"/>
      <c r="AA43" s="1285"/>
      <c r="AB43" s="1285"/>
      <c r="AC43" s="1285"/>
      <c r="AD43" s="1285"/>
      <c r="AE43" s="1285"/>
      <c r="AF43" s="1551"/>
      <c r="AG43" s="559"/>
      <c r="AH43" s="559"/>
      <c r="AI43" s="559"/>
      <c r="AJ43" s="559"/>
      <c r="AK43" s="1560">
        <v>11</v>
      </c>
    </row>
    <row r="44" spans="1:37" s="2269" customFormat="1" ht="11.45" customHeight="1">
      <c r="A44" s="912"/>
      <c r="B44" s="912"/>
      <c r="C44" s="912"/>
      <c r="D44" s="912"/>
      <c r="E44" s="912"/>
      <c r="F44" s="1555"/>
      <c r="G44" s="1555"/>
      <c r="H44" s="288"/>
      <c r="N44" s="1285"/>
      <c r="P44" s="1285"/>
      <c r="Q44" s="1555"/>
      <c r="R44" s="1555"/>
      <c r="S44" s="1285"/>
      <c r="T44" s="1285"/>
      <c r="U44" s="1285"/>
      <c r="V44" s="1285"/>
      <c r="W44" s="1555"/>
      <c r="X44" s="1285"/>
      <c r="Y44" s="1285"/>
      <c r="Z44" s="481"/>
      <c r="AA44" s="1285"/>
      <c r="AB44" s="1285"/>
      <c r="AC44" s="1285"/>
      <c r="AD44" s="1285"/>
      <c r="AE44" s="1285"/>
      <c r="AF44" s="1551"/>
      <c r="AG44" s="559"/>
      <c r="AH44" s="559"/>
      <c r="AI44" s="559"/>
      <c r="AJ44" s="559"/>
      <c r="AK44" s="1560">
        <v>11</v>
      </c>
    </row>
    <row r="45" spans="1:37" s="2269" customFormat="1" ht="11.45" customHeight="1">
      <c r="A45" s="912"/>
      <c r="B45" s="912"/>
      <c r="C45" s="912"/>
      <c r="D45" s="912"/>
      <c r="E45" s="912"/>
      <c r="F45" s="1555"/>
      <c r="G45" s="1555"/>
      <c r="H45" s="288"/>
      <c r="N45" s="1285"/>
      <c r="P45" s="1285"/>
      <c r="Q45" s="1555"/>
      <c r="R45" s="1555"/>
      <c r="S45" s="1285"/>
      <c r="T45" s="1285"/>
      <c r="U45" s="1285"/>
      <c r="V45" s="1285"/>
      <c r="W45" s="1555"/>
      <c r="X45" s="1285"/>
      <c r="Y45" s="1285"/>
      <c r="Z45" s="481"/>
      <c r="AA45" s="1285"/>
      <c r="AB45" s="1285"/>
      <c r="AC45" s="1285"/>
      <c r="AD45" s="1285"/>
      <c r="AE45" s="1285"/>
      <c r="AF45" s="1551"/>
      <c r="AG45" s="559"/>
      <c r="AH45" s="559"/>
      <c r="AI45" s="559"/>
      <c r="AJ45" s="559"/>
      <c r="AK45" s="1560">
        <v>11</v>
      </c>
    </row>
    <row r="46" spans="1:37" s="2269" customFormat="1" ht="11.45" customHeight="1">
      <c r="A46" s="912"/>
      <c r="B46" s="912"/>
      <c r="C46" s="912"/>
      <c r="D46" s="912"/>
      <c r="E46" s="912"/>
      <c r="F46" s="1555"/>
      <c r="G46" s="1555"/>
      <c r="H46" s="288"/>
      <c r="N46" s="1285"/>
      <c r="P46" s="1285"/>
      <c r="Q46" s="1555"/>
      <c r="R46" s="1555"/>
      <c r="S46" s="1285"/>
      <c r="T46" s="1285"/>
      <c r="U46" s="1285"/>
      <c r="V46" s="1285"/>
      <c r="W46" s="1555"/>
      <c r="X46" s="1285"/>
      <c r="Y46" s="1285"/>
      <c r="Z46" s="481"/>
      <c r="AA46" s="1285"/>
      <c r="AB46" s="1285"/>
      <c r="AC46" s="1285"/>
      <c r="AD46" s="1285"/>
      <c r="AE46" s="1285"/>
      <c r="AF46" s="1551"/>
      <c r="AG46" s="559"/>
      <c r="AH46" s="559"/>
      <c r="AI46" s="559"/>
      <c r="AJ46" s="559"/>
      <c r="AK46" s="1560">
        <v>11</v>
      </c>
    </row>
    <row r="47" spans="1:37" s="2269" customFormat="1" ht="11.45" customHeight="1">
      <c r="A47" s="912"/>
      <c r="B47" s="912"/>
      <c r="C47" s="912"/>
      <c r="D47" s="912"/>
      <c r="E47" s="912"/>
      <c r="F47" s="1555"/>
      <c r="G47" s="1555"/>
      <c r="H47" s="288"/>
      <c r="N47" s="1285"/>
      <c r="P47" s="1285"/>
      <c r="Q47" s="1555"/>
      <c r="R47" s="1555"/>
      <c r="S47" s="1285"/>
      <c r="T47" s="1285"/>
      <c r="U47" s="1285"/>
      <c r="V47" s="1285"/>
      <c r="W47" s="1555"/>
      <c r="X47" s="1285"/>
      <c r="Y47" s="1285"/>
      <c r="Z47" s="481"/>
      <c r="AA47" s="1285"/>
      <c r="AB47" s="1285"/>
      <c r="AC47" s="1285"/>
      <c r="AD47" s="1285"/>
      <c r="AE47" s="1285"/>
      <c r="AF47" s="1551"/>
      <c r="AG47" s="559"/>
      <c r="AH47" s="559"/>
      <c r="AI47" s="559"/>
      <c r="AJ47" s="559"/>
      <c r="AK47" s="1560">
        <v>11</v>
      </c>
    </row>
    <row r="48" spans="1:37" s="2269" customFormat="1" ht="11.45" customHeight="1">
      <c r="A48" s="912"/>
      <c r="B48" s="912"/>
      <c r="C48" s="912"/>
      <c r="D48" s="912"/>
      <c r="E48" s="912"/>
      <c r="F48" s="1555"/>
      <c r="G48" s="1555"/>
      <c r="H48" s="288"/>
      <c r="N48" s="1285"/>
      <c r="P48" s="1285"/>
      <c r="Q48" s="1555"/>
      <c r="R48" s="1555"/>
      <c r="S48" s="1285"/>
      <c r="T48" s="1285"/>
      <c r="U48" s="1285"/>
      <c r="V48" s="1285"/>
      <c r="W48" s="1555"/>
      <c r="X48" s="1285"/>
      <c r="Y48" s="1285"/>
      <c r="Z48" s="481"/>
      <c r="AA48" s="1285"/>
      <c r="AB48" s="1285"/>
      <c r="AC48" s="1285"/>
      <c r="AD48" s="1285"/>
      <c r="AE48" s="1285"/>
      <c r="AF48" s="1551"/>
      <c r="AG48" s="559"/>
      <c r="AH48" s="559"/>
      <c r="AI48" s="559"/>
      <c r="AJ48" s="559"/>
      <c r="AK48" s="1560">
        <v>11</v>
      </c>
    </row>
    <row r="49" spans="1:37" s="2269" customFormat="1" ht="11.45" customHeight="1">
      <c r="A49" s="912"/>
      <c r="B49" s="912"/>
      <c r="C49" s="912"/>
      <c r="D49" s="912"/>
      <c r="E49" s="912"/>
      <c r="F49" s="1555"/>
      <c r="G49" s="1555"/>
      <c r="H49" s="288"/>
      <c r="N49" s="1285"/>
      <c r="P49" s="1285"/>
      <c r="Q49" s="1555"/>
      <c r="R49" s="1555"/>
      <c r="S49" s="1285"/>
      <c r="T49" s="1285"/>
      <c r="U49" s="1285"/>
      <c r="V49" s="1285"/>
      <c r="W49" s="1555"/>
      <c r="X49" s="1285"/>
      <c r="Y49" s="1285"/>
      <c r="Z49" s="481"/>
      <c r="AA49" s="1285"/>
      <c r="AB49" s="1285"/>
      <c r="AC49" s="1285"/>
      <c r="AD49" s="1285"/>
      <c r="AE49" s="1285"/>
      <c r="AF49" s="1551"/>
      <c r="AG49" s="559"/>
      <c r="AH49" s="559"/>
      <c r="AI49" s="559"/>
      <c r="AJ49" s="559"/>
      <c r="AK49" s="1560">
        <v>11</v>
      </c>
    </row>
    <row r="50" spans="1:37" s="2269" customFormat="1" ht="11.45" customHeight="1">
      <c r="A50" s="912"/>
      <c r="B50" s="912"/>
      <c r="C50" s="912"/>
      <c r="D50" s="912"/>
      <c r="E50" s="912"/>
      <c r="F50" s="1555"/>
      <c r="G50" s="1555"/>
      <c r="H50" s="288"/>
      <c r="N50" s="1285"/>
      <c r="P50" s="1285"/>
      <c r="Q50" s="1555"/>
      <c r="R50" s="1555"/>
      <c r="S50" s="1285"/>
      <c r="T50" s="1285"/>
      <c r="U50" s="1285"/>
      <c r="V50" s="1285"/>
      <c r="W50" s="1555"/>
      <c r="X50" s="1285"/>
      <c r="Y50" s="1285"/>
      <c r="Z50" s="481"/>
      <c r="AA50" s="1285"/>
      <c r="AB50" s="1285"/>
      <c r="AC50" s="1285"/>
      <c r="AD50" s="1285"/>
      <c r="AE50" s="1285"/>
      <c r="AF50" s="1551"/>
      <c r="AG50" s="559"/>
      <c r="AH50" s="559"/>
      <c r="AI50" s="559"/>
      <c r="AJ50" s="559"/>
      <c r="AK50" s="1560">
        <v>11</v>
      </c>
    </row>
    <row r="51" spans="1:37" s="2269" customFormat="1" ht="11.45" customHeight="1">
      <c r="A51" s="912"/>
      <c r="B51" s="912"/>
      <c r="C51" s="912"/>
      <c r="D51" s="912"/>
      <c r="E51" s="912"/>
      <c r="F51" s="1555"/>
      <c r="G51" s="1555"/>
      <c r="H51" s="288"/>
      <c r="N51" s="1285"/>
      <c r="P51" s="1285"/>
      <c r="Q51" s="1555"/>
      <c r="R51" s="1555"/>
      <c r="S51" s="1285"/>
      <c r="T51" s="1285"/>
      <c r="U51" s="1285"/>
      <c r="V51" s="1285"/>
      <c r="W51" s="1555"/>
      <c r="X51" s="1285"/>
      <c r="Y51" s="1285"/>
      <c r="Z51" s="481"/>
      <c r="AA51" s="1285"/>
      <c r="AB51" s="1285"/>
      <c r="AC51" s="1285"/>
      <c r="AD51" s="1285"/>
      <c r="AE51" s="1285"/>
      <c r="AF51" s="1551"/>
      <c r="AG51" s="559"/>
      <c r="AH51" s="559"/>
      <c r="AI51" s="559"/>
      <c r="AJ51" s="559"/>
      <c r="AK51" s="1560">
        <v>11</v>
      </c>
    </row>
    <row r="52" spans="1:37" s="2269" customFormat="1" ht="11.45" customHeight="1">
      <c r="A52" s="912"/>
      <c r="B52" s="912"/>
      <c r="C52" s="912"/>
      <c r="D52" s="912"/>
      <c r="E52" s="912"/>
      <c r="F52" s="1555"/>
      <c r="G52" s="1555"/>
      <c r="H52" s="288"/>
      <c r="N52" s="1285"/>
      <c r="P52" s="1285"/>
      <c r="Q52" s="1555"/>
      <c r="R52" s="1555"/>
      <c r="S52" s="1285"/>
      <c r="T52" s="1285"/>
      <c r="U52" s="1285"/>
      <c r="V52" s="1285"/>
      <c r="W52" s="1555"/>
      <c r="X52" s="1285"/>
      <c r="Y52" s="1285"/>
      <c r="Z52" s="481"/>
      <c r="AA52" s="1285"/>
      <c r="AB52" s="1285"/>
      <c r="AC52" s="1285"/>
      <c r="AD52" s="1285"/>
      <c r="AE52" s="1285"/>
      <c r="AF52" s="1551"/>
      <c r="AG52" s="559"/>
      <c r="AH52" s="559"/>
      <c r="AI52" s="559"/>
      <c r="AJ52" s="559"/>
      <c r="AK52" s="1560">
        <v>11</v>
      </c>
    </row>
    <row r="53" spans="1:37" s="2269" customFormat="1" ht="11.45" customHeight="1">
      <c r="A53" s="912"/>
      <c r="B53" s="912"/>
      <c r="C53" s="912"/>
      <c r="D53" s="912"/>
      <c r="E53" s="912"/>
      <c r="F53" s="1555"/>
      <c r="G53" s="1555"/>
      <c r="H53" s="288"/>
      <c r="N53" s="1285"/>
      <c r="P53" s="1285"/>
      <c r="Q53" s="1555"/>
      <c r="R53" s="1555"/>
      <c r="S53" s="1285"/>
      <c r="T53" s="1285"/>
      <c r="U53" s="1285"/>
      <c r="V53" s="1285"/>
      <c r="W53" s="1555"/>
      <c r="X53" s="1285"/>
      <c r="Y53" s="1285"/>
      <c r="Z53" s="481"/>
      <c r="AA53" s="1285"/>
      <c r="AB53" s="1285"/>
      <c r="AC53" s="1285"/>
      <c r="AD53" s="1285"/>
      <c r="AE53" s="1285"/>
      <c r="AF53" s="1551"/>
      <c r="AG53" s="559"/>
      <c r="AH53" s="559"/>
      <c r="AI53" s="559"/>
      <c r="AJ53" s="559"/>
      <c r="AK53" s="1560">
        <v>11</v>
      </c>
    </row>
    <row r="54" spans="1:37" s="2269" customFormat="1" ht="11.45" customHeight="1">
      <c r="A54" s="912"/>
      <c r="B54" s="912"/>
      <c r="C54" s="912"/>
      <c r="D54" s="912"/>
      <c r="E54" s="912"/>
      <c r="F54" s="1555"/>
      <c r="G54" s="1555"/>
      <c r="H54" s="288"/>
      <c r="N54" s="1285"/>
      <c r="P54" s="1285"/>
      <c r="Q54" s="1555"/>
      <c r="R54" s="1555"/>
      <c r="S54" s="1285"/>
      <c r="T54" s="1285"/>
      <c r="U54" s="1285"/>
      <c r="V54" s="1285"/>
      <c r="W54" s="1555"/>
      <c r="X54" s="1285"/>
      <c r="Y54" s="1285"/>
      <c r="Z54" s="481"/>
      <c r="AA54" s="1285"/>
      <c r="AB54" s="1285"/>
      <c r="AC54" s="1285"/>
      <c r="AD54" s="1285"/>
      <c r="AE54" s="1285"/>
      <c r="AF54" s="1551"/>
      <c r="AG54" s="559"/>
      <c r="AH54" s="559"/>
      <c r="AI54" s="559"/>
      <c r="AJ54" s="559"/>
      <c r="AK54" s="1560">
        <v>11</v>
      </c>
    </row>
    <row r="55" spans="1:37" s="2269" customFormat="1" ht="11.45" customHeight="1">
      <c r="A55" s="912"/>
      <c r="B55" s="912"/>
      <c r="C55" s="912"/>
      <c r="D55" s="912"/>
      <c r="E55" s="912"/>
      <c r="F55" s="1555"/>
      <c r="G55" s="1555"/>
      <c r="H55" s="288"/>
      <c r="N55" s="1285"/>
      <c r="P55" s="1285"/>
      <c r="Q55" s="1555"/>
      <c r="R55" s="1555"/>
      <c r="S55" s="1285"/>
      <c r="T55" s="1285"/>
      <c r="U55" s="1285"/>
      <c r="V55" s="1285"/>
      <c r="W55" s="1555"/>
      <c r="X55" s="1285"/>
      <c r="Y55" s="1285"/>
      <c r="Z55" s="481"/>
      <c r="AA55" s="1285"/>
      <c r="AB55" s="1285"/>
      <c r="AC55" s="1285"/>
      <c r="AD55" s="1285"/>
      <c r="AE55" s="1285"/>
      <c r="AF55" s="1551"/>
      <c r="AG55" s="559"/>
      <c r="AH55" s="559"/>
      <c r="AI55" s="559"/>
      <c r="AJ55" s="559"/>
      <c r="AK55" s="1560">
        <v>11</v>
      </c>
    </row>
    <row r="56" spans="1:37" s="2269" customFormat="1" ht="11.45" customHeight="1">
      <c r="A56" s="912"/>
      <c r="B56" s="912"/>
      <c r="C56" s="912"/>
      <c r="D56" s="912"/>
      <c r="E56" s="912"/>
      <c r="F56" s="1555"/>
      <c r="G56" s="1555"/>
      <c r="H56" s="288"/>
      <c r="N56" s="1285"/>
      <c r="P56" s="1285"/>
      <c r="Q56" s="1555"/>
      <c r="R56" s="1555"/>
      <c r="S56" s="1285"/>
      <c r="T56" s="1285"/>
      <c r="U56" s="1285"/>
      <c r="V56" s="1285"/>
      <c r="W56" s="1555"/>
      <c r="X56" s="1285"/>
      <c r="Y56" s="1285"/>
      <c r="Z56" s="481"/>
      <c r="AA56" s="1285"/>
      <c r="AB56" s="1285"/>
      <c r="AC56" s="1285"/>
      <c r="AD56" s="1285"/>
      <c r="AE56" s="1285"/>
      <c r="AF56" s="1551"/>
      <c r="AG56" s="559"/>
      <c r="AH56" s="559"/>
      <c r="AI56" s="559"/>
      <c r="AJ56" s="559"/>
      <c r="AK56" s="1560">
        <v>11</v>
      </c>
    </row>
    <row r="57" spans="1:37" s="2269" customFormat="1" ht="11.45" customHeight="1">
      <c r="A57" s="912"/>
      <c r="B57" s="912"/>
      <c r="C57" s="912"/>
      <c r="D57" s="912"/>
      <c r="E57" s="912"/>
      <c r="F57" s="1555"/>
      <c r="G57" s="1555"/>
      <c r="H57" s="288"/>
      <c r="N57" s="1285"/>
      <c r="P57" s="1285"/>
      <c r="Q57" s="1555"/>
      <c r="R57" s="1555"/>
      <c r="S57" s="1285"/>
      <c r="T57" s="1285"/>
      <c r="U57" s="1285"/>
      <c r="V57" s="1285"/>
      <c r="W57" s="1555"/>
      <c r="X57" s="1285"/>
      <c r="Y57" s="1285"/>
      <c r="Z57" s="481"/>
      <c r="AA57" s="1285"/>
      <c r="AB57" s="1285"/>
      <c r="AC57" s="1285"/>
      <c r="AD57" s="1285"/>
      <c r="AE57" s="1285"/>
      <c r="AF57" s="1551"/>
      <c r="AG57" s="559"/>
      <c r="AH57" s="559"/>
      <c r="AI57" s="559"/>
      <c r="AJ57" s="559"/>
      <c r="AK57" s="1560">
        <v>11</v>
      </c>
    </row>
    <row r="58" spans="1:37" s="2269" customFormat="1" ht="11.45" customHeight="1">
      <c r="A58" s="912"/>
      <c r="B58" s="912"/>
      <c r="C58" s="912"/>
      <c r="D58" s="912"/>
      <c r="E58" s="912"/>
      <c r="F58" s="1555"/>
      <c r="G58" s="1555"/>
      <c r="H58" s="288"/>
      <c r="N58" s="1285"/>
      <c r="P58" s="1285"/>
      <c r="Q58" s="1555"/>
      <c r="R58" s="1555"/>
      <c r="S58" s="1285"/>
      <c r="T58" s="1285"/>
      <c r="U58" s="1285"/>
      <c r="V58" s="1285"/>
      <c r="W58" s="1555"/>
      <c r="X58" s="1285"/>
      <c r="Y58" s="1285"/>
      <c r="Z58" s="481"/>
      <c r="AA58" s="1285"/>
      <c r="AB58" s="1285"/>
      <c r="AC58" s="1285"/>
      <c r="AD58" s="1285"/>
      <c r="AE58" s="1285"/>
      <c r="AF58" s="1551"/>
      <c r="AG58" s="559"/>
      <c r="AH58" s="559"/>
      <c r="AI58" s="559"/>
      <c r="AJ58" s="559"/>
      <c r="AK58" s="1560">
        <v>11</v>
      </c>
    </row>
    <row r="59" spans="1:37" s="2269" customFormat="1" ht="11.45" customHeight="1">
      <c r="A59" s="912"/>
      <c r="B59" s="912"/>
      <c r="C59" s="912"/>
      <c r="D59" s="912"/>
      <c r="E59" s="912"/>
      <c r="F59" s="1555"/>
      <c r="G59" s="1555"/>
      <c r="H59" s="288"/>
      <c r="N59" s="1285"/>
      <c r="P59" s="1285"/>
      <c r="Q59" s="1555"/>
      <c r="R59" s="1555"/>
      <c r="S59" s="1285"/>
      <c r="T59" s="1285"/>
      <c r="U59" s="1285"/>
      <c r="V59" s="1285"/>
      <c r="W59" s="1555"/>
      <c r="X59" s="1285"/>
      <c r="Y59" s="1285"/>
      <c r="Z59" s="481"/>
      <c r="AA59" s="1285"/>
      <c r="AB59" s="1285"/>
      <c r="AC59" s="1285"/>
      <c r="AD59" s="1285"/>
      <c r="AE59" s="1285"/>
      <c r="AF59" s="1551"/>
      <c r="AG59" s="559"/>
      <c r="AH59" s="559"/>
      <c r="AI59" s="559"/>
      <c r="AJ59" s="559"/>
      <c r="AK59" s="1560">
        <v>11</v>
      </c>
    </row>
    <row r="60" spans="1:37" s="2269" customFormat="1" ht="11.45" customHeight="1">
      <c r="A60" s="912"/>
      <c r="B60" s="912"/>
      <c r="C60" s="912"/>
      <c r="D60" s="912"/>
      <c r="E60" s="912"/>
      <c r="F60" s="1555"/>
      <c r="G60" s="1555"/>
      <c r="H60" s="288"/>
      <c r="N60" s="1285"/>
      <c r="P60" s="1285"/>
      <c r="Q60" s="1555"/>
      <c r="R60" s="1555"/>
      <c r="S60" s="1285"/>
      <c r="T60" s="1285"/>
      <c r="U60" s="1285"/>
      <c r="V60" s="1285"/>
      <c r="W60" s="1555"/>
      <c r="X60" s="1285"/>
      <c r="Y60" s="1285"/>
      <c r="Z60" s="481"/>
      <c r="AA60" s="1285"/>
      <c r="AB60" s="1285"/>
      <c r="AC60" s="1285"/>
      <c r="AD60" s="1285"/>
      <c r="AE60" s="1285"/>
      <c r="AF60" s="1551"/>
      <c r="AG60" s="559"/>
      <c r="AH60" s="559"/>
      <c r="AI60" s="559"/>
      <c r="AJ60" s="559"/>
      <c r="AK60" s="1560">
        <v>11</v>
      </c>
    </row>
    <row r="61" spans="1:37" s="2269" customFormat="1" ht="11.45" customHeight="1">
      <c r="A61" s="912"/>
      <c r="B61" s="912"/>
      <c r="C61" s="912"/>
      <c r="D61" s="912"/>
      <c r="E61" s="912"/>
      <c r="F61" s="1555"/>
      <c r="G61" s="1555"/>
      <c r="H61" s="288"/>
      <c r="N61" s="1285"/>
      <c r="P61" s="1285"/>
      <c r="Q61" s="1555"/>
      <c r="R61" s="1555"/>
      <c r="S61" s="1285"/>
      <c r="T61" s="1285"/>
      <c r="U61" s="1285"/>
      <c r="V61" s="1285"/>
      <c r="W61" s="1555"/>
      <c r="X61" s="1285"/>
      <c r="Y61" s="1285"/>
      <c r="Z61" s="481"/>
      <c r="AA61" s="1285"/>
      <c r="AB61" s="1285"/>
      <c r="AC61" s="1285"/>
      <c r="AD61" s="1285"/>
      <c r="AE61" s="1285"/>
      <c r="AF61" s="1551"/>
      <c r="AG61" s="559"/>
      <c r="AH61" s="559"/>
      <c r="AI61" s="559"/>
      <c r="AJ61" s="559"/>
      <c r="AK61" s="1560">
        <v>11</v>
      </c>
    </row>
    <row r="62" spans="1:37" s="2269" customFormat="1" ht="11.45" customHeight="1">
      <c r="A62" s="912"/>
      <c r="B62" s="912"/>
      <c r="C62" s="912"/>
      <c r="D62" s="912"/>
      <c r="E62" s="912"/>
      <c r="F62" s="1555"/>
      <c r="G62" s="1555"/>
      <c r="H62" s="288"/>
      <c r="N62" s="1285"/>
      <c r="P62" s="1285"/>
      <c r="Q62" s="1555"/>
      <c r="R62" s="1555"/>
      <c r="S62" s="1285"/>
      <c r="T62" s="1285"/>
      <c r="U62" s="1285"/>
      <c r="V62" s="1285"/>
      <c r="W62" s="1555"/>
      <c r="X62" s="1285"/>
      <c r="Y62" s="1285"/>
      <c r="Z62" s="481"/>
      <c r="AA62" s="1285"/>
      <c r="AB62" s="1285"/>
      <c r="AC62" s="1285"/>
      <c r="AD62" s="1285"/>
      <c r="AE62" s="1285"/>
      <c r="AF62" s="1551"/>
      <c r="AG62" s="559"/>
      <c r="AH62" s="559"/>
      <c r="AI62" s="559"/>
      <c r="AJ62" s="559"/>
      <c r="AK62" s="1560">
        <v>11</v>
      </c>
    </row>
    <row r="63" spans="1:37" s="2269" customFormat="1" ht="11.45" customHeight="1">
      <c r="A63" s="912"/>
      <c r="B63" s="912"/>
      <c r="C63" s="912"/>
      <c r="D63" s="912"/>
      <c r="E63" s="912"/>
      <c r="F63" s="1555"/>
      <c r="G63" s="1555"/>
      <c r="H63" s="288"/>
      <c r="N63" s="1285"/>
      <c r="P63" s="1285"/>
      <c r="Q63" s="1555"/>
      <c r="R63" s="1555"/>
      <c r="S63" s="1285"/>
      <c r="T63" s="1285"/>
      <c r="U63" s="1285"/>
      <c r="V63" s="1285"/>
      <c r="W63" s="1555"/>
      <c r="X63" s="1285"/>
      <c r="Y63" s="1285"/>
      <c r="Z63" s="481"/>
      <c r="AA63" s="1285"/>
      <c r="AB63" s="1285"/>
      <c r="AC63" s="1285"/>
      <c r="AD63" s="1285"/>
      <c r="AE63" s="1285"/>
      <c r="AF63" s="1551"/>
      <c r="AG63" s="559"/>
      <c r="AH63" s="559"/>
      <c r="AI63" s="559"/>
      <c r="AJ63" s="559"/>
      <c r="AK63" s="1560">
        <v>11</v>
      </c>
    </row>
    <row r="64" spans="1:37" s="2269" customFormat="1" ht="11.45" customHeight="1">
      <c r="A64" s="912"/>
      <c r="B64" s="912"/>
      <c r="C64" s="912"/>
      <c r="D64" s="912"/>
      <c r="E64" s="912"/>
      <c r="F64" s="1555"/>
      <c r="G64" s="1555"/>
      <c r="H64" s="288"/>
      <c r="N64" s="1285"/>
      <c r="P64" s="1285"/>
      <c r="Q64" s="1555"/>
      <c r="R64" s="1555"/>
      <c r="S64" s="1285"/>
      <c r="T64" s="1285"/>
      <c r="U64" s="1285"/>
      <c r="V64" s="1285"/>
      <c r="W64" s="1555"/>
      <c r="X64" s="1285"/>
      <c r="Y64" s="1285"/>
      <c r="Z64" s="481"/>
      <c r="AA64" s="1285"/>
      <c r="AB64" s="1285"/>
      <c r="AC64" s="1285"/>
      <c r="AD64" s="1285"/>
      <c r="AE64" s="1285"/>
      <c r="AF64" s="1551"/>
      <c r="AG64" s="559"/>
      <c r="AH64" s="559"/>
      <c r="AI64" s="559"/>
      <c r="AJ64" s="559"/>
      <c r="AK64" s="1560">
        <v>11</v>
      </c>
    </row>
    <row r="65" spans="1:37" s="2269" customFormat="1" ht="11.45" customHeight="1">
      <c r="A65" s="912"/>
      <c r="B65" s="912"/>
      <c r="C65" s="912"/>
      <c r="D65" s="912"/>
      <c r="E65" s="912"/>
      <c r="F65" s="1555"/>
      <c r="G65" s="1555"/>
      <c r="H65" s="288"/>
      <c r="N65" s="1285"/>
      <c r="P65" s="1285"/>
      <c r="Q65" s="1555"/>
      <c r="R65" s="1555"/>
      <c r="S65" s="1285"/>
      <c r="T65" s="1285"/>
      <c r="U65" s="1285"/>
      <c r="V65" s="1285"/>
      <c r="W65" s="1555"/>
      <c r="X65" s="1285"/>
      <c r="Y65" s="1285"/>
      <c r="Z65" s="481"/>
      <c r="AA65" s="1285"/>
      <c r="AB65" s="1285"/>
      <c r="AC65" s="1285"/>
      <c r="AD65" s="1285"/>
      <c r="AE65" s="1285"/>
      <c r="AF65" s="1551"/>
      <c r="AG65" s="559"/>
      <c r="AH65" s="559"/>
      <c r="AI65" s="559"/>
      <c r="AJ65" s="559"/>
      <c r="AK65" s="1560">
        <v>11</v>
      </c>
    </row>
    <row r="66" spans="1:37" s="2269" customFormat="1" ht="11.45" customHeight="1">
      <c r="A66" s="912"/>
      <c r="B66" s="912"/>
      <c r="C66" s="912"/>
      <c r="D66" s="912"/>
      <c r="E66" s="912"/>
      <c r="F66" s="1555"/>
      <c r="G66" s="1555"/>
      <c r="H66" s="288"/>
      <c r="N66" s="1285"/>
      <c r="P66" s="1285"/>
      <c r="Q66" s="1555"/>
      <c r="R66" s="1555"/>
      <c r="S66" s="1285"/>
      <c r="T66" s="1285"/>
      <c r="U66" s="1285"/>
      <c r="V66" s="1285"/>
      <c r="W66" s="1555"/>
      <c r="X66" s="1285"/>
      <c r="Y66" s="1285"/>
      <c r="Z66" s="481"/>
      <c r="AA66" s="1285"/>
      <c r="AB66" s="1285"/>
      <c r="AC66" s="1285"/>
      <c r="AD66" s="1285"/>
      <c r="AE66" s="1285"/>
      <c r="AF66" s="1551"/>
      <c r="AG66" s="559"/>
      <c r="AH66" s="559"/>
      <c r="AI66" s="559"/>
      <c r="AJ66" s="559"/>
      <c r="AK66" s="1560">
        <v>11</v>
      </c>
    </row>
    <row r="67" spans="1:37" s="2269" customFormat="1" ht="11.45" customHeight="1">
      <c r="A67" s="912"/>
      <c r="B67" s="912"/>
      <c r="C67" s="912"/>
      <c r="D67" s="912"/>
      <c r="E67" s="912"/>
      <c r="F67" s="1555"/>
      <c r="G67" s="1555"/>
      <c r="H67" s="288"/>
      <c r="N67" s="1285"/>
      <c r="P67" s="1285"/>
      <c r="Q67" s="1555"/>
      <c r="R67" s="1555"/>
      <c r="S67" s="1285"/>
      <c r="T67" s="1285"/>
      <c r="U67" s="1285"/>
      <c r="V67" s="1285"/>
      <c r="W67" s="1555"/>
      <c r="X67" s="1285"/>
      <c r="Y67" s="1285"/>
      <c r="Z67" s="481"/>
      <c r="AA67" s="1285"/>
      <c r="AB67" s="1285"/>
      <c r="AC67" s="1285"/>
      <c r="AD67" s="1285"/>
      <c r="AE67" s="1285"/>
      <c r="AF67" s="1551"/>
      <c r="AG67" s="559"/>
      <c r="AH67" s="559"/>
      <c r="AI67" s="559"/>
      <c r="AJ67" s="559"/>
      <c r="AK67" s="1560">
        <v>11</v>
      </c>
    </row>
    <row r="68" spans="1:37" s="2269" customFormat="1" ht="11.45" customHeight="1">
      <c r="A68" s="912"/>
      <c r="B68" s="912"/>
      <c r="C68" s="912"/>
      <c r="D68" s="912"/>
      <c r="E68" s="912"/>
      <c r="F68" s="1555"/>
      <c r="G68" s="1555"/>
      <c r="H68" s="288"/>
      <c r="N68" s="1285"/>
      <c r="P68" s="1285"/>
      <c r="Q68" s="1555"/>
      <c r="R68" s="1555"/>
      <c r="S68" s="1285"/>
      <c r="T68" s="1285"/>
      <c r="U68" s="1285"/>
      <c r="V68" s="1285"/>
      <c r="W68" s="1555"/>
      <c r="X68" s="1285"/>
      <c r="Y68" s="1285"/>
      <c r="Z68" s="481"/>
      <c r="AA68" s="1285"/>
      <c r="AB68" s="1285"/>
      <c r="AC68" s="1285"/>
      <c r="AD68" s="1285"/>
      <c r="AE68" s="1285"/>
      <c r="AF68" s="1551"/>
      <c r="AG68" s="559"/>
      <c r="AH68" s="559"/>
      <c r="AI68" s="559"/>
      <c r="AJ68" s="559"/>
      <c r="AK68" s="1560">
        <v>11</v>
      </c>
    </row>
    <row r="69" spans="1:37" s="2269" customFormat="1" ht="11.45" customHeight="1">
      <c r="A69" s="912"/>
      <c r="B69" s="912"/>
      <c r="C69" s="912"/>
      <c r="D69" s="912"/>
      <c r="E69" s="912"/>
      <c r="F69" s="1555"/>
      <c r="G69" s="1555"/>
      <c r="H69" s="288"/>
      <c r="N69" s="1285"/>
      <c r="P69" s="1285"/>
      <c r="Q69" s="1555"/>
      <c r="R69" s="1555"/>
      <c r="S69" s="1285"/>
      <c r="T69" s="1285"/>
      <c r="U69" s="1285"/>
      <c r="V69" s="1285"/>
      <c r="W69" s="1555"/>
      <c r="X69" s="1285"/>
      <c r="Y69" s="1285"/>
      <c r="Z69" s="481"/>
      <c r="AA69" s="1285"/>
      <c r="AB69" s="1285"/>
      <c r="AC69" s="1285"/>
      <c r="AD69" s="1285"/>
      <c r="AE69" s="1285"/>
      <c r="AF69" s="1551"/>
      <c r="AG69" s="559"/>
      <c r="AH69" s="559"/>
      <c r="AI69" s="559"/>
      <c r="AJ69" s="559"/>
      <c r="AK69" s="1560">
        <v>11</v>
      </c>
    </row>
    <row r="70" spans="1:37" s="2269" customFormat="1" ht="11.45" customHeight="1">
      <c r="A70" s="912"/>
      <c r="B70" s="912"/>
      <c r="C70" s="912"/>
      <c r="D70" s="912"/>
      <c r="E70" s="912"/>
      <c r="F70" s="1555"/>
      <c r="G70" s="1555"/>
      <c r="H70" s="288"/>
      <c r="N70" s="1285"/>
      <c r="P70" s="1285"/>
      <c r="Q70" s="1555"/>
      <c r="R70" s="1555"/>
      <c r="S70" s="1285"/>
      <c r="T70" s="1285"/>
      <c r="U70" s="1285"/>
      <c r="V70" s="1285"/>
      <c r="W70" s="1555"/>
      <c r="X70" s="1285"/>
      <c r="Y70" s="1285"/>
      <c r="Z70" s="481"/>
      <c r="AA70" s="1285"/>
      <c r="AB70" s="1285"/>
      <c r="AC70" s="1285"/>
      <c r="AD70" s="1285"/>
      <c r="AE70" s="1285"/>
      <c r="AF70" s="1551"/>
      <c r="AG70" s="559"/>
      <c r="AH70" s="559"/>
      <c r="AI70" s="559"/>
      <c r="AJ70" s="559"/>
      <c r="AK70" s="1560">
        <v>11</v>
      </c>
    </row>
    <row r="71" spans="1:37" s="2269" customFormat="1" ht="11.45" customHeight="1">
      <c r="A71" s="912"/>
      <c r="B71" s="912"/>
      <c r="C71" s="912"/>
      <c r="D71" s="912"/>
      <c r="E71" s="912"/>
      <c r="F71" s="1555"/>
      <c r="G71" s="1555"/>
      <c r="H71" s="288"/>
      <c r="N71" s="1285"/>
      <c r="P71" s="1285"/>
      <c r="Q71" s="1555"/>
      <c r="R71" s="1555"/>
      <c r="S71" s="1285"/>
      <c r="T71" s="1285"/>
      <c r="U71" s="1285"/>
      <c r="V71" s="1285"/>
      <c r="W71" s="1555"/>
      <c r="X71" s="1285"/>
      <c r="Y71" s="1285"/>
      <c r="Z71" s="481"/>
      <c r="AA71" s="1285"/>
      <c r="AB71" s="1285"/>
      <c r="AC71" s="1285"/>
      <c r="AD71" s="1285"/>
      <c r="AE71" s="1285"/>
      <c r="AF71" s="1551"/>
      <c r="AG71" s="559"/>
      <c r="AH71" s="559"/>
      <c r="AI71" s="559"/>
      <c r="AJ71" s="559"/>
      <c r="AK71" s="1560">
        <v>11</v>
      </c>
    </row>
    <row r="72" spans="1:37" s="2269" customFormat="1" ht="11.45" customHeight="1">
      <c r="A72" s="912"/>
      <c r="B72" s="912"/>
      <c r="C72" s="912"/>
      <c r="D72" s="912"/>
      <c r="E72" s="912"/>
      <c r="F72" s="1555"/>
      <c r="G72" s="1555"/>
      <c r="H72" s="288"/>
      <c r="N72" s="1285"/>
      <c r="P72" s="1285"/>
      <c r="Q72" s="1555"/>
      <c r="R72" s="1555"/>
      <c r="S72" s="1285"/>
      <c r="T72" s="1285"/>
      <c r="U72" s="1285"/>
      <c r="V72" s="1285"/>
      <c r="W72" s="1555"/>
      <c r="X72" s="1285"/>
      <c r="Y72" s="1285"/>
      <c r="Z72" s="481"/>
      <c r="AA72" s="1285"/>
      <c r="AB72" s="1285"/>
      <c r="AC72" s="1285"/>
      <c r="AD72" s="1285"/>
      <c r="AE72" s="1285"/>
      <c r="AF72" s="1551"/>
      <c r="AG72" s="559"/>
      <c r="AH72" s="559"/>
      <c r="AI72" s="559"/>
      <c r="AJ72" s="559"/>
      <c r="AK72" s="1560">
        <v>11</v>
      </c>
    </row>
    <row r="73" spans="1:37" s="2269" customFormat="1" ht="11.45" customHeight="1">
      <c r="A73" s="912"/>
      <c r="B73" s="912"/>
      <c r="C73" s="912"/>
      <c r="D73" s="912"/>
      <c r="E73" s="912"/>
      <c r="F73" s="1555"/>
      <c r="G73" s="1555"/>
      <c r="H73" s="288"/>
      <c r="N73" s="1285"/>
      <c r="P73" s="1285"/>
      <c r="Q73" s="1555"/>
      <c r="R73" s="1555"/>
      <c r="S73" s="1285"/>
      <c r="T73" s="1285"/>
      <c r="U73" s="1285"/>
      <c r="V73" s="1285"/>
      <c r="W73" s="1555"/>
      <c r="X73" s="1285"/>
      <c r="Y73" s="1285"/>
      <c r="Z73" s="481"/>
      <c r="AA73" s="1285"/>
      <c r="AB73" s="1285"/>
      <c r="AC73" s="1285"/>
      <c r="AD73" s="1285"/>
      <c r="AE73" s="1285"/>
      <c r="AF73" s="1551"/>
      <c r="AG73" s="559"/>
      <c r="AH73" s="559"/>
      <c r="AI73" s="559"/>
      <c r="AJ73" s="559"/>
      <c r="AK73" s="1560">
        <v>11</v>
      </c>
    </row>
    <row r="74" spans="1:37" s="2269" customFormat="1" ht="11.45" customHeight="1">
      <c r="A74" s="912"/>
      <c r="B74" s="912"/>
      <c r="C74" s="912"/>
      <c r="D74" s="912"/>
      <c r="E74" s="912"/>
      <c r="F74" s="1555"/>
      <c r="G74" s="1555"/>
      <c r="H74" s="288"/>
      <c r="N74" s="1285"/>
      <c r="P74" s="1285"/>
      <c r="Q74" s="1555"/>
      <c r="R74" s="1555"/>
      <c r="S74" s="1285"/>
      <c r="T74" s="1285"/>
      <c r="U74" s="1285"/>
      <c r="V74" s="1285"/>
      <c r="W74" s="1555"/>
      <c r="X74" s="1285"/>
      <c r="Y74" s="1285"/>
      <c r="Z74" s="481"/>
      <c r="AA74" s="1285"/>
      <c r="AB74" s="1285"/>
      <c r="AC74" s="1285"/>
      <c r="AD74" s="1285"/>
      <c r="AE74" s="1285"/>
      <c r="AF74" s="1551"/>
      <c r="AG74" s="559"/>
      <c r="AH74" s="559"/>
      <c r="AI74" s="559"/>
      <c r="AJ74" s="559"/>
      <c r="AK74" s="1560">
        <v>11</v>
      </c>
    </row>
    <row r="75" spans="1:37" s="2269" customFormat="1" ht="11.45" customHeight="1">
      <c r="A75" s="912"/>
      <c r="B75" s="912"/>
      <c r="C75" s="912"/>
      <c r="D75" s="912"/>
      <c r="E75" s="912"/>
      <c r="F75" s="1555"/>
      <c r="G75" s="1555"/>
      <c r="H75" s="288"/>
      <c r="N75" s="1285"/>
      <c r="P75" s="1285"/>
      <c r="Q75" s="1555"/>
      <c r="R75" s="1555"/>
      <c r="S75" s="1285"/>
      <c r="T75" s="1285"/>
      <c r="U75" s="1285"/>
      <c r="V75" s="1285"/>
      <c r="W75" s="1555"/>
      <c r="X75" s="1285"/>
      <c r="Y75" s="1285"/>
      <c r="Z75" s="481"/>
      <c r="AA75" s="1285"/>
      <c r="AB75" s="1285"/>
      <c r="AC75" s="1285"/>
      <c r="AD75" s="1285"/>
      <c r="AE75" s="1285"/>
      <c r="AF75" s="1551"/>
      <c r="AG75" s="559"/>
      <c r="AH75" s="559"/>
      <c r="AI75" s="559"/>
      <c r="AJ75" s="559"/>
      <c r="AK75" s="1560">
        <v>11</v>
      </c>
    </row>
    <row r="76" spans="1:37" s="2269" customFormat="1" ht="11.45" customHeight="1">
      <c r="A76" s="912"/>
      <c r="B76" s="912"/>
      <c r="C76" s="912"/>
      <c r="D76" s="912"/>
      <c r="E76" s="912"/>
      <c r="F76" s="1555"/>
      <c r="G76" s="1555"/>
      <c r="H76" s="288"/>
      <c r="N76" s="1285"/>
      <c r="P76" s="1285"/>
      <c r="Q76" s="1555"/>
      <c r="R76" s="1555"/>
      <c r="S76" s="1285"/>
      <c r="T76" s="1285"/>
      <c r="U76" s="1285"/>
      <c r="V76" s="1285"/>
      <c r="W76" s="1555"/>
      <c r="X76" s="1285"/>
      <c r="Y76" s="1285"/>
      <c r="Z76" s="481"/>
      <c r="AA76" s="1285"/>
      <c r="AB76" s="1285"/>
      <c r="AC76" s="1285"/>
      <c r="AD76" s="1285"/>
      <c r="AE76" s="1285"/>
      <c r="AF76" s="1551"/>
      <c r="AG76" s="559"/>
      <c r="AH76" s="559"/>
      <c r="AI76" s="559"/>
      <c r="AJ76" s="559"/>
      <c r="AK76" s="1560">
        <v>11</v>
      </c>
    </row>
    <row r="77" spans="1:37" s="2269" customFormat="1" ht="11.45" customHeight="1">
      <c r="A77" s="912"/>
      <c r="B77" s="912"/>
      <c r="C77" s="912"/>
      <c r="D77" s="912"/>
      <c r="E77" s="912"/>
      <c r="F77" s="1555"/>
      <c r="G77" s="1555"/>
      <c r="H77" s="288"/>
      <c r="N77" s="1285"/>
      <c r="P77" s="1285"/>
      <c r="Q77" s="1555"/>
      <c r="R77" s="1555"/>
      <c r="S77" s="1285"/>
      <c r="T77" s="1285"/>
      <c r="U77" s="1285"/>
      <c r="V77" s="1285"/>
      <c r="W77" s="1555"/>
      <c r="X77" s="1285"/>
      <c r="Y77" s="1285"/>
      <c r="Z77" s="481"/>
      <c r="AA77" s="1285"/>
      <c r="AB77" s="1285"/>
      <c r="AC77" s="1285"/>
      <c r="AD77" s="1285"/>
      <c r="AE77" s="1285"/>
      <c r="AF77" s="1551"/>
      <c r="AG77" s="559"/>
      <c r="AH77" s="559"/>
      <c r="AI77" s="559"/>
      <c r="AJ77" s="559"/>
      <c r="AK77" s="1560">
        <v>11</v>
      </c>
    </row>
    <row r="78" spans="1:37" s="2269" customFormat="1" ht="11.45" customHeight="1">
      <c r="A78" s="912"/>
      <c r="B78" s="912"/>
      <c r="C78" s="912"/>
      <c r="D78" s="912"/>
      <c r="E78" s="912"/>
      <c r="F78" s="1555"/>
      <c r="G78" s="1555"/>
      <c r="H78" s="288"/>
      <c r="N78" s="1285"/>
      <c r="P78" s="1285"/>
      <c r="Q78" s="1555"/>
      <c r="R78" s="1555"/>
      <c r="S78" s="1285"/>
      <c r="T78" s="1285"/>
      <c r="U78" s="1285"/>
      <c r="V78" s="1285"/>
      <c r="W78" s="1555"/>
      <c r="X78" s="1285"/>
      <c r="Y78" s="1285"/>
      <c r="Z78" s="481"/>
      <c r="AA78" s="1285"/>
      <c r="AB78" s="1285"/>
      <c r="AC78" s="1285"/>
      <c r="AD78" s="1285"/>
      <c r="AE78" s="1285"/>
      <c r="AF78" s="1551"/>
      <c r="AG78" s="559"/>
      <c r="AH78" s="559"/>
      <c r="AI78" s="559"/>
      <c r="AJ78" s="559"/>
      <c r="AK78" s="1560">
        <v>11</v>
      </c>
    </row>
    <row r="79" spans="1:37" s="2269" customFormat="1" ht="11.45" customHeight="1">
      <c r="A79" s="912"/>
      <c r="B79" s="912"/>
      <c r="C79" s="912"/>
      <c r="D79" s="912"/>
      <c r="E79" s="912"/>
      <c r="F79" s="1555"/>
      <c r="G79" s="1555"/>
      <c r="H79" s="288"/>
      <c r="N79" s="1285"/>
      <c r="P79" s="1285"/>
      <c r="Q79" s="1555"/>
      <c r="R79" s="1555"/>
      <c r="S79" s="1285"/>
      <c r="T79" s="1285"/>
      <c r="U79" s="1285"/>
      <c r="V79" s="1285"/>
      <c r="W79" s="1555"/>
      <c r="X79" s="1285"/>
      <c r="Y79" s="1285"/>
      <c r="Z79" s="481"/>
      <c r="AA79" s="1285"/>
      <c r="AB79" s="1285"/>
      <c r="AC79" s="1285"/>
      <c r="AD79" s="1285"/>
      <c r="AE79" s="1285"/>
      <c r="AF79" s="1551"/>
      <c r="AG79" s="559"/>
      <c r="AH79" s="559"/>
      <c r="AI79" s="559"/>
      <c r="AJ79" s="559"/>
      <c r="AK79" s="1560">
        <v>11</v>
      </c>
    </row>
    <row r="80" spans="1:37" s="2269" customFormat="1" ht="11.45" customHeight="1">
      <c r="A80" s="912"/>
      <c r="B80" s="912"/>
      <c r="C80" s="912"/>
      <c r="D80" s="912"/>
      <c r="E80" s="912"/>
      <c r="F80" s="1555"/>
      <c r="G80" s="1555"/>
      <c r="H80" s="288"/>
      <c r="N80" s="1285"/>
      <c r="P80" s="1285"/>
      <c r="Q80" s="1555"/>
      <c r="R80" s="1555"/>
      <c r="S80" s="1285"/>
      <c r="T80" s="1285"/>
      <c r="U80" s="1285"/>
      <c r="V80" s="1285"/>
      <c r="W80" s="1555"/>
      <c r="X80" s="1285"/>
      <c r="Y80" s="1285"/>
      <c r="Z80" s="481"/>
      <c r="AA80" s="1285"/>
      <c r="AB80" s="1285"/>
      <c r="AC80" s="1285"/>
      <c r="AD80" s="1285"/>
      <c r="AE80" s="1285"/>
      <c r="AF80" s="1551"/>
      <c r="AG80" s="559"/>
      <c r="AH80" s="559"/>
      <c r="AI80" s="559"/>
      <c r="AJ80" s="559"/>
      <c r="AK80" s="1560">
        <v>11</v>
      </c>
    </row>
    <row r="81" spans="1:37" s="2269" customFormat="1" ht="11.45" customHeight="1">
      <c r="A81" s="912"/>
      <c r="B81" s="912"/>
      <c r="C81" s="912"/>
      <c r="D81" s="912"/>
      <c r="E81" s="912"/>
      <c r="F81" s="1555"/>
      <c r="G81" s="1555"/>
      <c r="H81" s="288"/>
      <c r="N81" s="1285"/>
      <c r="P81" s="1285"/>
      <c r="Q81" s="1555"/>
      <c r="R81" s="1555"/>
      <c r="S81" s="1285"/>
      <c r="T81" s="1285"/>
      <c r="U81" s="1285"/>
      <c r="V81" s="1285"/>
      <c r="W81" s="1555"/>
      <c r="X81" s="1285"/>
      <c r="Y81" s="1285"/>
      <c r="Z81" s="481"/>
      <c r="AA81" s="1285"/>
      <c r="AB81" s="1285"/>
      <c r="AC81" s="1285"/>
      <c r="AD81" s="1285"/>
      <c r="AE81" s="1285"/>
      <c r="AF81" s="1551"/>
      <c r="AG81" s="559"/>
      <c r="AH81" s="559"/>
      <c r="AI81" s="559"/>
      <c r="AJ81" s="559"/>
      <c r="AK81" s="1560">
        <v>11</v>
      </c>
    </row>
    <row r="82" spans="1:37" s="2269" customFormat="1" ht="11.45" customHeight="1">
      <c r="A82" s="912"/>
      <c r="B82" s="912"/>
      <c r="C82" s="912"/>
      <c r="D82" s="912"/>
      <c r="E82" s="912"/>
      <c r="F82" s="1555"/>
      <c r="G82" s="1555"/>
      <c r="H82" s="288"/>
      <c r="N82" s="1285"/>
      <c r="P82" s="1285"/>
      <c r="Q82" s="1555"/>
      <c r="R82" s="1555"/>
      <c r="S82" s="1285"/>
      <c r="T82" s="1285"/>
      <c r="U82" s="1285"/>
      <c r="V82" s="1285"/>
      <c r="W82" s="1555"/>
      <c r="X82" s="1285"/>
      <c r="Y82" s="1285"/>
      <c r="Z82" s="481"/>
      <c r="AA82" s="1285"/>
      <c r="AB82" s="1285"/>
      <c r="AC82" s="1285"/>
      <c r="AD82" s="1285"/>
      <c r="AE82" s="1285"/>
      <c r="AF82" s="1551"/>
      <c r="AG82" s="559"/>
      <c r="AH82" s="559"/>
      <c r="AI82" s="559"/>
      <c r="AJ82" s="559"/>
      <c r="AK82" s="1560">
        <v>11</v>
      </c>
    </row>
    <row r="83" spans="1:37" s="2269" customFormat="1" ht="11.45" customHeight="1">
      <c r="A83" s="912"/>
      <c r="B83" s="912"/>
      <c r="C83" s="912"/>
      <c r="D83" s="912"/>
      <c r="E83" s="912"/>
      <c r="F83" s="1555"/>
      <c r="G83" s="1555"/>
      <c r="H83" s="288"/>
      <c r="N83" s="1285"/>
      <c r="P83" s="1285"/>
      <c r="Q83" s="1555"/>
      <c r="R83" s="1555"/>
      <c r="S83" s="1285"/>
      <c r="T83" s="1285"/>
      <c r="U83" s="1285"/>
      <c r="V83" s="1285"/>
      <c r="W83" s="1555"/>
      <c r="X83" s="1285"/>
      <c r="Y83" s="1285"/>
      <c r="Z83" s="481"/>
      <c r="AA83" s="1285"/>
      <c r="AB83" s="1285"/>
      <c r="AC83" s="1285"/>
      <c r="AD83" s="1285"/>
      <c r="AE83" s="1285"/>
      <c r="AF83" s="1551"/>
      <c r="AG83" s="559"/>
      <c r="AH83" s="559"/>
      <c r="AI83" s="559"/>
      <c r="AJ83" s="559"/>
      <c r="AK83" s="1560">
        <v>11</v>
      </c>
    </row>
    <row r="84" spans="1:37" s="2269" customFormat="1" ht="11.45" customHeight="1">
      <c r="A84" s="912"/>
      <c r="B84" s="912"/>
      <c r="C84" s="912"/>
      <c r="D84" s="912"/>
      <c r="E84" s="912"/>
      <c r="F84" s="1555"/>
      <c r="G84" s="1555"/>
      <c r="H84" s="288"/>
      <c r="N84" s="1285"/>
      <c r="P84" s="1285"/>
      <c r="Q84" s="1555"/>
      <c r="R84" s="1555"/>
      <c r="S84" s="1285"/>
      <c r="T84" s="1285"/>
      <c r="U84" s="1285"/>
      <c r="V84" s="1285"/>
      <c r="W84" s="1555"/>
      <c r="X84" s="1285"/>
      <c r="Y84" s="1285"/>
      <c r="Z84" s="481"/>
      <c r="AA84" s="1285"/>
      <c r="AB84" s="1285"/>
      <c r="AC84" s="1285"/>
      <c r="AD84" s="1285"/>
      <c r="AE84" s="1285"/>
      <c r="AF84" s="1551"/>
      <c r="AG84" s="559"/>
      <c r="AH84" s="559"/>
      <c r="AI84" s="559"/>
      <c r="AJ84" s="559"/>
      <c r="AK84" s="1560">
        <v>11</v>
      </c>
    </row>
    <row r="85" spans="1:37" s="2269" customFormat="1" ht="11.45" customHeight="1">
      <c r="A85" s="912"/>
      <c r="B85" s="912"/>
      <c r="C85" s="912"/>
      <c r="D85" s="912"/>
      <c r="E85" s="912"/>
      <c r="F85" s="1555"/>
      <c r="G85" s="1555"/>
      <c r="H85" s="288"/>
      <c r="N85" s="1285"/>
      <c r="P85" s="1285"/>
      <c r="Q85" s="1555"/>
      <c r="R85" s="1555"/>
      <c r="S85" s="1285"/>
      <c r="T85" s="1285"/>
      <c r="U85" s="1285"/>
      <c r="V85" s="1285"/>
      <c r="W85" s="1555"/>
      <c r="X85" s="1285"/>
      <c r="Y85" s="1285"/>
      <c r="Z85" s="481"/>
      <c r="AA85" s="1285"/>
      <c r="AB85" s="1285"/>
      <c r="AC85" s="1285"/>
      <c r="AD85" s="1285"/>
      <c r="AE85" s="1285"/>
      <c r="AF85" s="1551"/>
      <c r="AG85" s="559"/>
      <c r="AH85" s="559"/>
      <c r="AI85" s="559"/>
      <c r="AJ85" s="559"/>
      <c r="AK85" s="1560">
        <v>11</v>
      </c>
    </row>
    <row r="86" spans="1:37" s="2269" customFormat="1" ht="11.45" customHeight="1">
      <c r="A86" s="912"/>
      <c r="B86" s="912"/>
      <c r="C86" s="912"/>
      <c r="D86" s="912"/>
      <c r="E86" s="912"/>
      <c r="F86" s="1555"/>
      <c r="G86" s="1555"/>
      <c r="H86" s="288"/>
      <c r="N86" s="1285"/>
      <c r="P86" s="1285"/>
      <c r="Q86" s="1555"/>
      <c r="R86" s="1555"/>
      <c r="S86" s="1285"/>
      <c r="T86" s="1285"/>
      <c r="U86" s="1285"/>
      <c r="V86" s="1285"/>
      <c r="W86" s="1555"/>
      <c r="X86" s="1285"/>
      <c r="Y86" s="1285"/>
      <c r="Z86" s="481"/>
      <c r="AA86" s="1285"/>
      <c r="AB86" s="1285"/>
      <c r="AC86" s="1285"/>
      <c r="AD86" s="1285"/>
      <c r="AE86" s="1285"/>
      <c r="AF86" s="1551"/>
      <c r="AG86" s="559"/>
      <c r="AH86" s="559"/>
      <c r="AI86" s="559"/>
      <c r="AJ86" s="559"/>
      <c r="AK86" s="1560">
        <v>11</v>
      </c>
    </row>
    <row r="87" spans="1:37" s="2269" customFormat="1" ht="11.45" customHeight="1">
      <c r="A87" s="912"/>
      <c r="B87" s="912"/>
      <c r="C87" s="912"/>
      <c r="D87" s="912"/>
      <c r="E87" s="912"/>
      <c r="F87" s="1555"/>
      <c r="G87" s="1555"/>
      <c r="H87" s="288"/>
      <c r="N87" s="1285"/>
      <c r="P87" s="1285"/>
      <c r="Q87" s="1555"/>
      <c r="R87" s="1555"/>
      <c r="S87" s="1285"/>
      <c r="T87" s="1285"/>
      <c r="U87" s="1285"/>
      <c r="V87" s="1285"/>
      <c r="W87" s="1555"/>
      <c r="X87" s="1285"/>
      <c r="Y87" s="1285"/>
      <c r="Z87" s="481"/>
      <c r="AA87" s="1285"/>
      <c r="AB87" s="1285"/>
      <c r="AC87" s="1285"/>
      <c r="AD87" s="1285"/>
      <c r="AE87" s="1285"/>
      <c r="AF87" s="1551"/>
      <c r="AG87" s="559"/>
      <c r="AH87" s="559"/>
      <c r="AI87" s="559"/>
      <c r="AJ87" s="559"/>
      <c r="AK87" s="1560">
        <v>11</v>
      </c>
    </row>
    <row r="88" spans="1:37" s="2269" customFormat="1" ht="11.45" customHeight="1">
      <c r="A88" s="912"/>
      <c r="B88" s="912"/>
      <c r="C88" s="912"/>
      <c r="D88" s="912"/>
      <c r="E88" s="912"/>
      <c r="F88" s="1555"/>
      <c r="G88" s="1555"/>
      <c r="H88" s="288"/>
      <c r="N88" s="1285"/>
      <c r="P88" s="1285"/>
      <c r="Q88" s="1555"/>
      <c r="R88" s="1555"/>
      <c r="S88" s="1285"/>
      <c r="T88" s="1285"/>
      <c r="U88" s="1285"/>
      <c r="V88" s="1285"/>
      <c r="W88" s="1555"/>
      <c r="X88" s="1285"/>
      <c r="Y88" s="1285"/>
      <c r="Z88" s="481"/>
      <c r="AA88" s="1285"/>
      <c r="AB88" s="1285"/>
      <c r="AC88" s="1285"/>
      <c r="AD88" s="1285"/>
      <c r="AE88" s="1285"/>
      <c r="AF88" s="1551"/>
      <c r="AG88" s="559"/>
      <c r="AH88" s="559"/>
      <c r="AI88" s="559"/>
      <c r="AJ88" s="559"/>
      <c r="AK88" s="1560">
        <v>11</v>
      </c>
    </row>
    <row r="89" spans="1:37" s="2269" customFormat="1" ht="11.45" customHeight="1">
      <c r="A89" s="912"/>
      <c r="B89" s="912"/>
      <c r="C89" s="912"/>
      <c r="D89" s="912"/>
      <c r="E89" s="912"/>
      <c r="F89" s="1555"/>
      <c r="G89" s="1555"/>
      <c r="H89" s="288"/>
      <c r="N89" s="1285"/>
      <c r="P89" s="1285"/>
      <c r="Q89" s="1555"/>
      <c r="R89" s="1555"/>
      <c r="S89" s="1285"/>
      <c r="T89" s="1285"/>
      <c r="U89" s="1285"/>
      <c r="V89" s="1285"/>
      <c r="W89" s="1555"/>
      <c r="X89" s="1285"/>
      <c r="Y89" s="1285"/>
      <c r="Z89" s="481"/>
      <c r="AA89" s="1285"/>
      <c r="AB89" s="1285"/>
      <c r="AC89" s="1285"/>
      <c r="AD89" s="1285"/>
      <c r="AE89" s="1285"/>
      <c r="AF89" s="1551"/>
      <c r="AG89" s="559"/>
      <c r="AH89" s="559"/>
      <c r="AI89" s="559"/>
      <c r="AJ89" s="559"/>
      <c r="AK89" s="1560">
        <v>11</v>
      </c>
    </row>
    <row r="90" spans="1:37" s="2269" customFormat="1" ht="11.45" customHeight="1">
      <c r="A90" s="912"/>
      <c r="B90" s="912"/>
      <c r="C90" s="912"/>
      <c r="D90" s="912"/>
      <c r="E90" s="912"/>
      <c r="F90" s="1555"/>
      <c r="G90" s="1555"/>
      <c r="H90" s="288"/>
      <c r="N90" s="1285"/>
      <c r="P90" s="1285"/>
      <c r="Q90" s="1555"/>
      <c r="R90" s="1555"/>
      <c r="S90" s="1285"/>
      <c r="T90" s="1285"/>
      <c r="U90" s="1285"/>
      <c r="V90" s="1285"/>
      <c r="W90" s="1555"/>
      <c r="X90" s="1285"/>
      <c r="Y90" s="1285"/>
      <c r="Z90" s="481"/>
      <c r="AA90" s="1285"/>
      <c r="AB90" s="1285"/>
      <c r="AC90" s="1285"/>
      <c r="AD90" s="1285"/>
      <c r="AE90" s="1285"/>
      <c r="AF90" s="1551"/>
      <c r="AG90" s="559"/>
      <c r="AH90" s="559"/>
      <c r="AI90" s="559"/>
      <c r="AJ90" s="559"/>
      <c r="AK90" s="1560">
        <v>11</v>
      </c>
    </row>
    <row r="91" spans="1:37" s="2269" customFormat="1" ht="11.45" customHeight="1">
      <c r="A91" s="912"/>
      <c r="B91" s="912"/>
      <c r="C91" s="912"/>
      <c r="D91" s="912"/>
      <c r="E91" s="912"/>
      <c r="F91" s="1555"/>
      <c r="G91" s="1555"/>
      <c r="H91" s="288"/>
      <c r="N91" s="1285"/>
      <c r="P91" s="1285"/>
      <c r="Q91" s="1555"/>
      <c r="R91" s="1555"/>
      <c r="S91" s="1285"/>
      <c r="T91" s="1285"/>
      <c r="U91" s="1285"/>
      <c r="V91" s="1285"/>
      <c r="W91" s="1555"/>
      <c r="X91" s="1285"/>
      <c r="Y91" s="1285"/>
      <c r="Z91" s="481"/>
      <c r="AA91" s="1285"/>
      <c r="AB91" s="1285"/>
      <c r="AC91" s="1285"/>
      <c r="AD91" s="1285"/>
      <c r="AE91" s="1285"/>
      <c r="AF91" s="1551"/>
      <c r="AG91" s="559"/>
      <c r="AH91" s="559"/>
      <c r="AI91" s="559"/>
      <c r="AJ91" s="559"/>
      <c r="AK91" s="1560">
        <v>11</v>
      </c>
    </row>
    <row r="92" spans="1:37" s="2269" customFormat="1" ht="11.45" customHeight="1">
      <c r="A92" s="912"/>
      <c r="B92" s="912"/>
      <c r="C92" s="912"/>
      <c r="D92" s="912"/>
      <c r="E92" s="912"/>
      <c r="F92" s="1555"/>
      <c r="G92" s="1555"/>
      <c r="H92" s="288"/>
      <c r="N92" s="1285"/>
      <c r="P92" s="1285"/>
      <c r="Q92" s="1555"/>
      <c r="R92" s="1555"/>
      <c r="S92" s="1285"/>
      <c r="T92" s="1285"/>
      <c r="U92" s="1285"/>
      <c r="V92" s="1285"/>
      <c r="W92" s="1555"/>
      <c r="X92" s="1285"/>
      <c r="Y92" s="1285"/>
      <c r="Z92" s="481"/>
      <c r="AA92" s="1285"/>
      <c r="AB92" s="1285"/>
      <c r="AC92" s="1285"/>
      <c r="AD92" s="1285"/>
      <c r="AE92" s="1285"/>
      <c r="AF92" s="1551"/>
      <c r="AG92" s="559"/>
      <c r="AH92" s="559"/>
      <c r="AI92" s="559"/>
      <c r="AJ92" s="559"/>
      <c r="AK92" s="1560">
        <v>11</v>
      </c>
    </row>
    <row r="93" spans="1:37" s="2269" customFormat="1" ht="11.45" customHeight="1">
      <c r="A93" s="912"/>
      <c r="B93" s="912"/>
      <c r="C93" s="912"/>
      <c r="D93" s="912"/>
      <c r="E93" s="912"/>
      <c r="F93" s="1555"/>
      <c r="G93" s="1555"/>
      <c r="H93" s="288"/>
      <c r="N93" s="1285"/>
      <c r="P93" s="1285"/>
      <c r="Q93" s="1555"/>
      <c r="R93" s="1555"/>
      <c r="S93" s="1285"/>
      <c r="T93" s="1285"/>
      <c r="U93" s="1285"/>
      <c r="V93" s="1285"/>
      <c r="W93" s="1555"/>
      <c r="X93" s="1285"/>
      <c r="Y93" s="1285"/>
      <c r="Z93" s="481"/>
      <c r="AA93" s="1285"/>
      <c r="AB93" s="1285"/>
      <c r="AC93" s="1285"/>
      <c r="AD93" s="1285"/>
      <c r="AE93" s="1285"/>
      <c r="AF93" s="1551"/>
      <c r="AG93" s="559"/>
      <c r="AH93" s="559"/>
      <c r="AI93" s="559"/>
      <c r="AJ93" s="559"/>
      <c r="AK93" s="1560">
        <v>11</v>
      </c>
    </row>
    <row r="94" spans="1:37" s="2269" customFormat="1" ht="11.45" customHeight="1">
      <c r="A94" s="912"/>
      <c r="B94" s="912"/>
      <c r="C94" s="912"/>
      <c r="D94" s="912"/>
      <c r="E94" s="912"/>
      <c r="F94" s="1555"/>
      <c r="G94" s="1555"/>
      <c r="H94" s="288"/>
      <c r="N94" s="1285"/>
      <c r="P94" s="1285"/>
      <c r="Q94" s="1555"/>
      <c r="R94" s="1555"/>
      <c r="S94" s="1285"/>
      <c r="T94" s="1285"/>
      <c r="U94" s="1285"/>
      <c r="V94" s="1285"/>
      <c r="W94" s="1555"/>
      <c r="X94" s="1285"/>
      <c r="Y94" s="1285"/>
      <c r="Z94" s="481"/>
      <c r="AA94" s="1285"/>
      <c r="AB94" s="1285"/>
      <c r="AC94" s="1285"/>
      <c r="AD94" s="1285"/>
      <c r="AE94" s="1285"/>
      <c r="AF94" s="1551"/>
      <c r="AG94" s="559"/>
      <c r="AH94" s="559"/>
      <c r="AI94" s="559"/>
      <c r="AJ94" s="559"/>
      <c r="AK94" s="1560">
        <v>11</v>
      </c>
    </row>
    <row r="95" spans="1:37" s="2269" customFormat="1" ht="11.45" customHeight="1">
      <c r="A95" s="912"/>
      <c r="B95" s="912"/>
      <c r="C95" s="912"/>
      <c r="D95" s="912"/>
      <c r="E95" s="912"/>
      <c r="F95" s="1555"/>
      <c r="G95" s="1555"/>
      <c r="H95" s="288"/>
      <c r="N95" s="1285"/>
      <c r="P95" s="1285"/>
      <c r="Q95" s="1555"/>
      <c r="R95" s="1555"/>
      <c r="S95" s="1285"/>
      <c r="T95" s="1285"/>
      <c r="U95" s="1285"/>
      <c r="V95" s="1285"/>
      <c r="W95" s="1555"/>
      <c r="X95" s="1285"/>
      <c r="Y95" s="1285"/>
      <c r="Z95" s="481"/>
      <c r="AA95" s="1285"/>
      <c r="AB95" s="1285"/>
      <c r="AC95" s="1285"/>
      <c r="AD95" s="1285"/>
      <c r="AE95" s="1285"/>
      <c r="AF95" s="1551"/>
      <c r="AG95" s="559"/>
      <c r="AH95" s="559"/>
      <c r="AI95" s="559"/>
      <c r="AJ95" s="559"/>
      <c r="AK95" s="1560">
        <v>11</v>
      </c>
    </row>
    <row r="96" spans="1:37" s="2269" customFormat="1" ht="11.45" customHeight="1">
      <c r="A96" s="912"/>
      <c r="B96" s="912"/>
      <c r="C96" s="912"/>
      <c r="D96" s="912"/>
      <c r="E96" s="912"/>
      <c r="F96" s="1555"/>
      <c r="G96" s="1555"/>
      <c r="H96" s="288"/>
      <c r="N96" s="1285"/>
      <c r="P96" s="1285"/>
      <c r="Q96" s="1555"/>
      <c r="R96" s="1555"/>
      <c r="S96" s="1285"/>
      <c r="T96" s="1285"/>
      <c r="U96" s="1285"/>
      <c r="V96" s="1285"/>
      <c r="W96" s="1555"/>
      <c r="X96" s="1285"/>
      <c r="Y96" s="1285"/>
      <c r="Z96" s="481"/>
      <c r="AA96" s="1285"/>
      <c r="AB96" s="1285"/>
      <c r="AC96" s="1285"/>
      <c r="AD96" s="1285"/>
      <c r="AE96" s="1285"/>
      <c r="AF96" s="1551"/>
      <c r="AG96" s="559"/>
      <c r="AH96" s="559"/>
      <c r="AI96" s="559"/>
      <c r="AJ96" s="559"/>
      <c r="AK96" s="1560">
        <v>11</v>
      </c>
    </row>
    <row r="97" spans="1:37" s="2269" customFormat="1" ht="11.45" customHeight="1">
      <c r="A97" s="912"/>
      <c r="B97" s="912"/>
      <c r="C97" s="912"/>
      <c r="D97" s="912"/>
      <c r="E97" s="912"/>
      <c r="F97" s="1555"/>
      <c r="G97" s="1555"/>
      <c r="H97" s="288"/>
      <c r="N97" s="1285"/>
      <c r="P97" s="1285"/>
      <c r="Q97" s="1555"/>
      <c r="R97" s="1555"/>
      <c r="S97" s="1285"/>
      <c r="T97" s="1285"/>
      <c r="U97" s="1285"/>
      <c r="V97" s="1285"/>
      <c r="W97" s="1555"/>
      <c r="X97" s="1285"/>
      <c r="Y97" s="1285"/>
      <c r="Z97" s="481"/>
      <c r="AA97" s="1285"/>
      <c r="AB97" s="1285"/>
      <c r="AC97" s="1285"/>
      <c r="AD97" s="1285"/>
      <c r="AE97" s="1285"/>
      <c r="AF97" s="1551"/>
      <c r="AG97" s="559"/>
      <c r="AH97" s="559"/>
      <c r="AI97" s="559"/>
      <c r="AJ97" s="559"/>
      <c r="AK97" s="1560">
        <v>11</v>
      </c>
    </row>
    <row r="98" spans="1:37" s="2269" customFormat="1" ht="11.45" customHeight="1">
      <c r="A98" s="912"/>
      <c r="B98" s="912"/>
      <c r="C98" s="912"/>
      <c r="D98" s="912"/>
      <c r="E98" s="912"/>
      <c r="F98" s="1555"/>
      <c r="G98" s="1555"/>
      <c r="H98" s="288"/>
      <c r="N98" s="1285"/>
      <c r="P98" s="1285"/>
      <c r="Q98" s="1555"/>
      <c r="R98" s="1555"/>
      <c r="S98" s="1285"/>
      <c r="T98" s="1285"/>
      <c r="U98" s="1285"/>
      <c r="V98" s="1285"/>
      <c r="W98" s="1555"/>
      <c r="X98" s="1285"/>
      <c r="Y98" s="1285"/>
      <c r="Z98" s="481"/>
      <c r="AA98" s="1285"/>
      <c r="AB98" s="1285"/>
      <c r="AC98" s="1285"/>
      <c r="AD98" s="1285"/>
      <c r="AE98" s="1285"/>
      <c r="AF98" s="1551"/>
      <c r="AG98" s="559"/>
      <c r="AH98" s="559"/>
      <c r="AI98" s="559"/>
      <c r="AJ98" s="559"/>
      <c r="AK98" s="1560">
        <v>11</v>
      </c>
    </row>
    <row r="99" spans="1:37" s="2269" customFormat="1" ht="11.45" customHeight="1">
      <c r="A99" s="912"/>
      <c r="B99" s="912"/>
      <c r="C99" s="912"/>
      <c r="D99" s="912"/>
      <c r="E99" s="912"/>
      <c r="F99" s="1555"/>
      <c r="G99" s="1555"/>
      <c r="H99" s="288"/>
      <c r="N99" s="1285"/>
      <c r="P99" s="1285"/>
      <c r="Q99" s="1555"/>
      <c r="R99" s="1555"/>
      <c r="S99" s="1285"/>
      <c r="T99" s="1285"/>
      <c r="U99" s="1285"/>
      <c r="V99" s="1285"/>
      <c r="W99" s="1555"/>
      <c r="X99" s="1285"/>
      <c r="Y99" s="1285"/>
      <c r="Z99" s="481"/>
      <c r="AA99" s="1285"/>
      <c r="AB99" s="1285"/>
      <c r="AC99" s="1285"/>
      <c r="AD99" s="1285"/>
      <c r="AE99" s="1285"/>
      <c r="AF99" s="1551"/>
      <c r="AG99" s="559"/>
      <c r="AH99" s="559"/>
      <c r="AI99" s="559"/>
      <c r="AJ99" s="559"/>
      <c r="AK99" s="1560">
        <v>11</v>
      </c>
    </row>
    <row r="100" spans="1:37" s="2269" customFormat="1" ht="11.45" customHeight="1">
      <c r="A100" s="912"/>
      <c r="B100" s="912"/>
      <c r="C100" s="912"/>
      <c r="D100" s="912"/>
      <c r="E100" s="912"/>
      <c r="F100" s="1555"/>
      <c r="G100" s="1555"/>
      <c r="H100" s="288"/>
      <c r="N100" s="1285"/>
      <c r="P100" s="1285"/>
      <c r="Q100" s="1555"/>
      <c r="R100" s="1555"/>
      <c r="S100" s="1285"/>
      <c r="T100" s="1285"/>
      <c r="U100" s="1285"/>
      <c r="V100" s="1285"/>
      <c r="W100" s="1555"/>
      <c r="X100" s="1285"/>
      <c r="Y100" s="1285"/>
      <c r="Z100" s="481"/>
      <c r="AA100" s="1285"/>
      <c r="AB100" s="1285"/>
      <c r="AC100" s="1285"/>
      <c r="AD100" s="1285"/>
      <c r="AE100" s="1285"/>
      <c r="AF100" s="1551"/>
      <c r="AG100" s="559"/>
      <c r="AH100" s="559"/>
      <c r="AI100" s="559"/>
      <c r="AJ100" s="559"/>
      <c r="AK100" s="1560">
        <v>11</v>
      </c>
    </row>
    <row r="101" spans="1:37" s="2269" customFormat="1" ht="11.45" customHeight="1">
      <c r="A101" s="912"/>
      <c r="B101" s="912"/>
      <c r="C101" s="912"/>
      <c r="D101" s="912"/>
      <c r="E101" s="912"/>
      <c r="F101" s="1555"/>
      <c r="G101" s="1555"/>
      <c r="H101" s="288"/>
      <c r="N101" s="1285"/>
      <c r="P101" s="1285"/>
      <c r="Q101" s="1555"/>
      <c r="R101" s="1555"/>
      <c r="S101" s="1285"/>
      <c r="T101" s="1285"/>
      <c r="U101" s="1285"/>
      <c r="V101" s="1285"/>
      <c r="W101" s="1555"/>
      <c r="X101" s="1285"/>
      <c r="Y101" s="1285"/>
      <c r="Z101" s="481"/>
      <c r="AA101" s="1285"/>
      <c r="AB101" s="1285"/>
      <c r="AC101" s="1285"/>
      <c r="AD101" s="1285"/>
      <c r="AE101" s="1285"/>
      <c r="AF101" s="1551"/>
      <c r="AG101" s="559"/>
      <c r="AH101" s="559"/>
      <c r="AI101" s="559"/>
      <c r="AJ101" s="559"/>
      <c r="AK101" s="1560">
        <v>11</v>
      </c>
    </row>
    <row r="102" spans="1:37" s="2269" customFormat="1" ht="11.45" customHeight="1">
      <c r="A102" s="912"/>
      <c r="B102" s="912"/>
      <c r="C102" s="912"/>
      <c r="D102" s="912"/>
      <c r="E102" s="912"/>
      <c r="F102" s="1555"/>
      <c r="G102" s="1555"/>
      <c r="H102" s="288"/>
      <c r="N102" s="1285"/>
      <c r="P102" s="1285"/>
      <c r="Q102" s="1555"/>
      <c r="R102" s="1555"/>
      <c r="S102" s="1285"/>
      <c r="T102" s="1285"/>
      <c r="U102" s="1285"/>
      <c r="V102" s="1285"/>
      <c r="W102" s="1555"/>
      <c r="X102" s="1285"/>
      <c r="Y102" s="1285"/>
      <c r="Z102" s="481"/>
      <c r="AA102" s="1285"/>
      <c r="AB102" s="1285"/>
      <c r="AC102" s="1285"/>
      <c r="AD102" s="1285"/>
      <c r="AE102" s="1285"/>
      <c r="AF102" s="1551"/>
      <c r="AG102" s="559"/>
      <c r="AH102" s="559"/>
      <c r="AI102" s="559"/>
      <c r="AJ102" s="559"/>
      <c r="AK102" s="1560">
        <v>11</v>
      </c>
    </row>
    <row r="103" spans="1:37" s="2269" customFormat="1" ht="11.45" customHeight="1">
      <c r="A103" s="912"/>
      <c r="B103" s="912"/>
      <c r="C103" s="912"/>
      <c r="D103" s="912"/>
      <c r="E103" s="912"/>
      <c r="F103" s="1555"/>
      <c r="G103" s="1555"/>
      <c r="H103" s="288"/>
      <c r="N103" s="1285"/>
      <c r="P103" s="1285"/>
      <c r="Q103" s="1555"/>
      <c r="R103" s="1555"/>
      <c r="S103" s="1285"/>
      <c r="T103" s="1285"/>
      <c r="U103" s="1285"/>
      <c r="V103" s="1285"/>
      <c r="W103" s="1555"/>
      <c r="X103" s="1285"/>
      <c r="Y103" s="1285"/>
      <c r="Z103" s="481"/>
      <c r="AA103" s="1285"/>
      <c r="AB103" s="1285"/>
      <c r="AC103" s="1285"/>
      <c r="AD103" s="1285"/>
      <c r="AE103" s="1285"/>
      <c r="AF103" s="1551"/>
      <c r="AG103" s="559"/>
      <c r="AH103" s="559"/>
      <c r="AI103" s="559"/>
      <c r="AJ103" s="559"/>
      <c r="AK103" s="1560">
        <v>11</v>
      </c>
    </row>
    <row r="104" spans="1:37" s="2269" customFormat="1" ht="11.45" customHeight="1">
      <c r="A104" s="912"/>
      <c r="B104" s="912"/>
      <c r="C104" s="912"/>
      <c r="D104" s="912"/>
      <c r="E104" s="912"/>
      <c r="F104" s="1555"/>
      <c r="G104" s="1555"/>
      <c r="H104" s="288"/>
      <c r="N104" s="1285"/>
      <c r="P104" s="1285"/>
      <c r="Q104" s="1555"/>
      <c r="R104" s="1555"/>
      <c r="S104" s="1285"/>
      <c r="T104" s="1285"/>
      <c r="U104" s="1285"/>
      <c r="V104" s="1285"/>
      <c r="W104" s="1555"/>
      <c r="X104" s="1285"/>
      <c r="Y104" s="1285"/>
      <c r="Z104" s="481"/>
      <c r="AA104" s="1285"/>
      <c r="AB104" s="1285"/>
      <c r="AC104" s="1285"/>
      <c r="AD104" s="1285"/>
      <c r="AE104" s="1285"/>
      <c r="AF104" s="1551"/>
      <c r="AG104" s="559"/>
      <c r="AH104" s="559"/>
      <c r="AI104" s="559"/>
      <c r="AJ104" s="559"/>
      <c r="AK104" s="1560">
        <v>11</v>
      </c>
    </row>
    <row r="105" spans="1:37" s="2269" customFormat="1" ht="11.45" customHeight="1">
      <c r="A105" s="912"/>
      <c r="B105" s="912"/>
      <c r="C105" s="912"/>
      <c r="D105" s="912"/>
      <c r="E105" s="912"/>
      <c r="F105" s="1555"/>
      <c r="G105" s="1555"/>
      <c r="H105" s="288"/>
      <c r="N105" s="1285"/>
      <c r="P105" s="1285"/>
      <c r="Q105" s="1555"/>
      <c r="R105" s="1555"/>
      <c r="S105" s="1285"/>
      <c r="T105" s="1285"/>
      <c r="U105" s="1285"/>
      <c r="V105" s="1285"/>
      <c r="W105" s="1555"/>
      <c r="X105" s="1285"/>
      <c r="Y105" s="1285"/>
      <c r="Z105" s="481"/>
      <c r="AA105" s="1285"/>
      <c r="AB105" s="1285"/>
      <c r="AC105" s="1285"/>
      <c r="AD105" s="1285"/>
      <c r="AE105" s="1285"/>
      <c r="AF105" s="1551"/>
      <c r="AG105" s="559"/>
      <c r="AH105" s="559"/>
      <c r="AI105" s="559"/>
      <c r="AJ105" s="559"/>
      <c r="AK105" s="1560">
        <v>11</v>
      </c>
    </row>
    <row r="106" spans="1:37" s="2269" customFormat="1" ht="11.45" customHeight="1">
      <c r="A106" s="912"/>
      <c r="B106" s="912"/>
      <c r="C106" s="912"/>
      <c r="D106" s="912"/>
      <c r="E106" s="912"/>
      <c r="F106" s="1555"/>
      <c r="G106" s="1555"/>
      <c r="H106" s="288"/>
      <c r="N106" s="1285"/>
      <c r="P106" s="1285"/>
      <c r="Q106" s="1555"/>
      <c r="R106" s="1555"/>
      <c r="S106" s="1285"/>
      <c r="T106" s="1285"/>
      <c r="U106" s="1285"/>
      <c r="V106" s="1285"/>
      <c r="W106" s="1555"/>
      <c r="X106" s="1285"/>
      <c r="Y106" s="1285"/>
      <c r="Z106" s="481"/>
      <c r="AA106" s="1285"/>
      <c r="AB106" s="1285"/>
      <c r="AC106" s="1285"/>
      <c r="AD106" s="1285"/>
      <c r="AE106" s="1285"/>
      <c r="AF106" s="1551"/>
      <c r="AG106" s="559"/>
      <c r="AH106" s="559"/>
      <c r="AI106" s="559"/>
      <c r="AJ106" s="559"/>
      <c r="AK106" s="1560">
        <v>11</v>
      </c>
    </row>
    <row r="107" spans="1:37" s="2269" customFormat="1" ht="11.45" customHeight="1">
      <c r="A107" s="912"/>
      <c r="B107" s="912"/>
      <c r="C107" s="912"/>
      <c r="D107" s="912"/>
      <c r="E107" s="912"/>
      <c r="F107" s="1555"/>
      <c r="G107" s="1555"/>
      <c r="H107" s="288"/>
      <c r="N107" s="1285"/>
      <c r="P107" s="1285"/>
      <c r="Q107" s="1555"/>
      <c r="R107" s="1555"/>
      <c r="S107" s="1285"/>
      <c r="T107" s="1285"/>
      <c r="U107" s="1285"/>
      <c r="V107" s="1285"/>
      <c r="W107" s="1555"/>
      <c r="X107" s="1285"/>
      <c r="Y107" s="1285"/>
      <c r="Z107" s="481"/>
      <c r="AA107" s="1285"/>
      <c r="AB107" s="1285"/>
      <c r="AC107" s="1285"/>
      <c r="AD107" s="1285"/>
      <c r="AE107" s="1285"/>
      <c r="AF107" s="1551"/>
      <c r="AG107" s="559"/>
      <c r="AH107" s="559"/>
      <c r="AI107" s="559"/>
      <c r="AJ107" s="559"/>
      <c r="AK107" s="1560">
        <v>11</v>
      </c>
    </row>
    <row r="108" spans="1:37" s="2269" customFormat="1" ht="11.45" customHeight="1">
      <c r="A108" s="912"/>
      <c r="B108" s="912"/>
      <c r="C108" s="912"/>
      <c r="D108" s="912"/>
      <c r="E108" s="912"/>
      <c r="F108" s="1555"/>
      <c r="G108" s="1555"/>
      <c r="H108" s="288"/>
      <c r="N108" s="1285"/>
      <c r="P108" s="1285"/>
      <c r="Q108" s="1555"/>
      <c r="R108" s="1555"/>
      <c r="S108" s="1285"/>
      <c r="T108" s="1285"/>
      <c r="U108" s="1285"/>
      <c r="V108" s="1285"/>
      <c r="W108" s="1555"/>
      <c r="X108" s="1285"/>
      <c r="Y108" s="1285"/>
      <c r="Z108" s="481"/>
      <c r="AA108" s="1285"/>
      <c r="AB108" s="1285"/>
      <c r="AC108" s="1285"/>
      <c r="AD108" s="1285"/>
      <c r="AE108" s="1285"/>
      <c r="AF108" s="1551"/>
      <c r="AG108" s="559"/>
      <c r="AH108" s="559"/>
      <c r="AI108" s="559"/>
      <c r="AJ108" s="559"/>
      <c r="AK108" s="1560">
        <v>11</v>
      </c>
    </row>
    <row r="109" spans="1:37" s="2269" customFormat="1" ht="11.45" customHeight="1">
      <c r="A109" s="912"/>
      <c r="B109" s="912"/>
      <c r="C109" s="912"/>
      <c r="D109" s="912"/>
      <c r="E109" s="912"/>
      <c r="F109" s="1555"/>
      <c r="G109" s="1555"/>
      <c r="H109" s="288"/>
      <c r="N109" s="1285"/>
      <c r="P109" s="1285"/>
      <c r="Q109" s="1555"/>
      <c r="R109" s="1555"/>
      <c r="S109" s="1285"/>
      <c r="T109" s="1285"/>
      <c r="U109" s="1285"/>
      <c r="V109" s="1285"/>
      <c r="W109" s="1555"/>
      <c r="X109" s="1285"/>
      <c r="Y109" s="1285"/>
      <c r="Z109" s="481"/>
      <c r="AA109" s="1285"/>
      <c r="AB109" s="1285"/>
      <c r="AC109" s="1285"/>
      <c r="AD109" s="1285"/>
      <c r="AE109" s="1285"/>
      <c r="AF109" s="1551"/>
      <c r="AG109" s="559"/>
      <c r="AH109" s="559"/>
      <c r="AI109" s="559"/>
      <c r="AJ109" s="559"/>
      <c r="AK109" s="1560">
        <v>11</v>
      </c>
    </row>
    <row r="110" spans="1:37" s="2269" customFormat="1" ht="11.45" customHeight="1">
      <c r="A110" s="912"/>
      <c r="B110" s="912"/>
      <c r="C110" s="912"/>
      <c r="D110" s="912"/>
      <c r="E110" s="912"/>
      <c r="F110" s="1555"/>
      <c r="G110" s="1555"/>
      <c r="H110" s="288"/>
      <c r="N110" s="1285"/>
      <c r="P110" s="1285"/>
      <c r="Q110" s="1555"/>
      <c r="R110" s="1555"/>
      <c r="S110" s="1285"/>
      <c r="T110" s="1285"/>
      <c r="U110" s="1285"/>
      <c r="V110" s="1285"/>
      <c r="W110" s="1555"/>
      <c r="X110" s="1285"/>
      <c r="Y110" s="1285"/>
      <c r="Z110" s="481"/>
      <c r="AA110" s="1285"/>
      <c r="AB110" s="1285"/>
      <c r="AC110" s="1285"/>
      <c r="AD110" s="1285"/>
      <c r="AE110" s="1285"/>
      <c r="AF110" s="1551"/>
      <c r="AG110" s="559"/>
      <c r="AH110" s="559"/>
      <c r="AI110" s="559"/>
      <c r="AJ110" s="559"/>
      <c r="AK110" s="1560">
        <v>11</v>
      </c>
    </row>
    <row r="111" spans="1:37" s="2269" customFormat="1" ht="11.45" customHeight="1">
      <c r="A111" s="912"/>
      <c r="B111" s="912"/>
      <c r="C111" s="912"/>
      <c r="D111" s="912"/>
      <c r="E111" s="912"/>
      <c r="F111" s="1555"/>
      <c r="G111" s="1555"/>
      <c r="H111" s="288"/>
      <c r="N111" s="1285"/>
      <c r="P111" s="1285"/>
      <c r="Q111" s="1555"/>
      <c r="R111" s="1555"/>
      <c r="S111" s="1285"/>
      <c r="T111" s="1285"/>
      <c r="U111" s="1285"/>
      <c r="V111" s="1285"/>
      <c r="W111" s="1555"/>
      <c r="X111" s="1285"/>
      <c r="Y111" s="1285"/>
      <c r="Z111" s="481"/>
      <c r="AA111" s="1285"/>
      <c r="AB111" s="1285"/>
      <c r="AC111" s="1285"/>
      <c r="AD111" s="1285"/>
      <c r="AE111" s="1285"/>
      <c r="AF111" s="1551"/>
      <c r="AG111" s="559"/>
      <c r="AH111" s="559"/>
      <c r="AI111" s="559"/>
      <c r="AJ111" s="559"/>
      <c r="AK111" s="1560">
        <v>11</v>
      </c>
    </row>
    <row r="112" spans="1:37" s="2269" customFormat="1" ht="11.45" customHeight="1">
      <c r="A112" s="912"/>
      <c r="B112" s="912"/>
      <c r="C112" s="912"/>
      <c r="D112" s="912"/>
      <c r="E112" s="912"/>
      <c r="F112" s="1555"/>
      <c r="G112" s="1555"/>
      <c r="H112" s="288"/>
      <c r="N112" s="1285"/>
      <c r="P112" s="1285"/>
      <c r="Q112" s="1555"/>
      <c r="R112" s="1555"/>
      <c r="S112" s="1285"/>
      <c r="T112" s="1285"/>
      <c r="U112" s="1285"/>
      <c r="V112" s="1285"/>
      <c r="W112" s="1555"/>
      <c r="X112" s="1285"/>
      <c r="Y112" s="1285"/>
      <c r="Z112" s="481"/>
      <c r="AA112" s="1285"/>
      <c r="AB112" s="1285"/>
      <c r="AC112" s="1285"/>
      <c r="AD112" s="1285"/>
      <c r="AE112" s="1285"/>
      <c r="AF112" s="1551"/>
      <c r="AG112" s="559"/>
      <c r="AH112" s="559"/>
      <c r="AI112" s="559"/>
      <c r="AJ112" s="559"/>
      <c r="AK112" s="1560">
        <v>11</v>
      </c>
    </row>
    <row r="113" spans="1:37" s="2269" customFormat="1" ht="11.45" customHeight="1">
      <c r="A113" s="912"/>
      <c r="B113" s="912"/>
      <c r="C113" s="912"/>
      <c r="D113" s="912"/>
      <c r="E113" s="912"/>
      <c r="F113" s="1555"/>
      <c r="G113" s="1555"/>
      <c r="H113" s="288"/>
      <c r="N113" s="1285"/>
      <c r="P113" s="1285"/>
      <c r="Q113" s="1555"/>
      <c r="R113" s="1555"/>
      <c r="S113" s="1285"/>
      <c r="T113" s="1285"/>
      <c r="U113" s="1285"/>
      <c r="V113" s="1285"/>
      <c r="W113" s="1555"/>
      <c r="X113" s="1285"/>
      <c r="Y113" s="1285"/>
      <c r="Z113" s="481"/>
      <c r="AA113" s="1285"/>
      <c r="AB113" s="1285"/>
      <c r="AC113" s="1285"/>
      <c r="AD113" s="1285"/>
      <c r="AE113" s="1285"/>
      <c r="AF113" s="1551"/>
      <c r="AG113" s="559"/>
      <c r="AH113" s="559"/>
      <c r="AI113" s="559"/>
      <c r="AJ113" s="559"/>
      <c r="AK113" s="1560">
        <v>11</v>
      </c>
    </row>
    <row r="114" spans="1:37" s="2269" customFormat="1" ht="11.45" customHeight="1">
      <c r="A114" s="912"/>
      <c r="B114" s="912"/>
      <c r="C114" s="912"/>
      <c r="D114" s="912"/>
      <c r="E114" s="912"/>
      <c r="F114" s="1555"/>
      <c r="G114" s="1555"/>
      <c r="H114" s="288"/>
      <c r="N114" s="1285"/>
      <c r="P114" s="1285"/>
      <c r="Q114" s="1555"/>
      <c r="R114" s="1555"/>
      <c r="S114" s="1285"/>
      <c r="T114" s="1285"/>
      <c r="U114" s="1285"/>
      <c r="V114" s="1285"/>
      <c r="W114" s="1555"/>
      <c r="X114" s="1285"/>
      <c r="Y114" s="1285"/>
      <c r="Z114" s="481"/>
      <c r="AA114" s="1285"/>
      <c r="AB114" s="1285"/>
      <c r="AC114" s="1285"/>
      <c r="AD114" s="1285"/>
      <c r="AE114" s="1285"/>
      <c r="AF114" s="1551"/>
      <c r="AG114" s="559"/>
      <c r="AH114" s="559"/>
      <c r="AI114" s="559"/>
      <c r="AJ114" s="559"/>
      <c r="AK114" s="1560">
        <v>11</v>
      </c>
    </row>
    <row r="115" spans="1:37" s="2269" customFormat="1" ht="11.45" customHeight="1">
      <c r="A115" s="912"/>
      <c r="B115" s="912"/>
      <c r="C115" s="912"/>
      <c r="D115" s="912"/>
      <c r="E115" s="912"/>
      <c r="F115" s="1555"/>
      <c r="G115" s="1555"/>
      <c r="H115" s="288"/>
      <c r="N115" s="1285"/>
      <c r="P115" s="1285"/>
      <c r="Q115" s="1555"/>
      <c r="R115" s="1555"/>
      <c r="S115" s="1285"/>
      <c r="T115" s="1285"/>
      <c r="U115" s="1285"/>
      <c r="V115" s="1285"/>
      <c r="W115" s="1555"/>
      <c r="X115" s="1285"/>
      <c r="Y115" s="1285"/>
      <c r="Z115" s="481"/>
      <c r="AA115" s="1285"/>
      <c r="AB115" s="1285"/>
      <c r="AC115" s="1285"/>
      <c r="AD115" s="1285"/>
      <c r="AE115" s="1285"/>
      <c r="AF115" s="1551"/>
      <c r="AG115" s="559"/>
      <c r="AH115" s="559"/>
      <c r="AI115" s="559"/>
      <c r="AJ115" s="559"/>
      <c r="AK115" s="1560">
        <v>11</v>
      </c>
    </row>
    <row r="116" spans="1:37" s="2269" customFormat="1" ht="11.45" customHeight="1">
      <c r="A116" s="912"/>
      <c r="B116" s="912"/>
      <c r="C116" s="912"/>
      <c r="D116" s="912"/>
      <c r="E116" s="912"/>
      <c r="F116" s="1555"/>
      <c r="G116" s="1555"/>
      <c r="H116" s="288"/>
      <c r="N116" s="1285"/>
      <c r="P116" s="1285"/>
      <c r="Q116" s="1555"/>
      <c r="R116" s="1555"/>
      <c r="S116" s="1285"/>
      <c r="T116" s="1285"/>
      <c r="U116" s="1285"/>
      <c r="V116" s="1285"/>
      <c r="W116" s="1555"/>
      <c r="X116" s="1285"/>
      <c r="Y116" s="1285"/>
      <c r="Z116" s="481"/>
      <c r="AA116" s="1285"/>
      <c r="AB116" s="1285"/>
      <c r="AC116" s="1285"/>
      <c r="AD116" s="1285"/>
      <c r="AE116" s="1285"/>
      <c r="AF116" s="1551"/>
      <c r="AG116" s="559"/>
      <c r="AH116" s="559"/>
      <c r="AI116" s="559"/>
      <c r="AJ116" s="559"/>
      <c r="AK116" s="1560">
        <v>11</v>
      </c>
    </row>
    <row r="117" spans="1:37" s="2269" customFormat="1" ht="11.45" customHeight="1">
      <c r="A117" s="912"/>
      <c r="B117" s="912"/>
      <c r="C117" s="912"/>
      <c r="D117" s="912"/>
      <c r="E117" s="912"/>
      <c r="F117" s="1555"/>
      <c r="G117" s="1555"/>
      <c r="H117" s="288"/>
      <c r="N117" s="1285"/>
      <c r="P117" s="1285"/>
      <c r="Q117" s="1555"/>
      <c r="R117" s="1555"/>
      <c r="S117" s="1285"/>
      <c r="T117" s="1285"/>
      <c r="U117" s="1285"/>
      <c r="V117" s="1285"/>
      <c r="W117" s="1555"/>
      <c r="X117" s="1285"/>
      <c r="Y117" s="1285"/>
      <c r="Z117" s="481"/>
      <c r="AA117" s="1285"/>
      <c r="AB117" s="1285"/>
      <c r="AC117" s="1285"/>
      <c r="AD117" s="1285"/>
      <c r="AE117" s="1285"/>
      <c r="AF117" s="1551"/>
      <c r="AG117" s="559"/>
      <c r="AH117" s="559"/>
      <c r="AI117" s="559"/>
      <c r="AJ117" s="559"/>
      <c r="AK117" s="1560">
        <v>11</v>
      </c>
    </row>
    <row r="118" spans="1:37" s="2269" customFormat="1" ht="11.45" customHeight="1">
      <c r="A118" s="912"/>
      <c r="B118" s="912"/>
      <c r="C118" s="912"/>
      <c r="D118" s="912"/>
      <c r="E118" s="912"/>
      <c r="F118" s="1555"/>
      <c r="G118" s="1555"/>
      <c r="H118" s="288"/>
      <c r="N118" s="1285"/>
      <c r="P118" s="1285"/>
      <c r="Q118" s="1555"/>
      <c r="R118" s="1555"/>
      <c r="S118" s="1285"/>
      <c r="T118" s="1285"/>
      <c r="U118" s="1285"/>
      <c r="V118" s="1285"/>
      <c r="W118" s="1555"/>
      <c r="X118" s="1285"/>
      <c r="Y118" s="1285"/>
      <c r="Z118" s="481"/>
      <c r="AA118" s="1285"/>
      <c r="AB118" s="1285"/>
      <c r="AC118" s="1285"/>
      <c r="AD118" s="1285"/>
      <c r="AE118" s="1285"/>
      <c r="AF118" s="1551"/>
      <c r="AG118" s="559"/>
      <c r="AH118" s="559"/>
      <c r="AI118" s="559"/>
      <c r="AJ118" s="559"/>
      <c r="AK118" s="1560">
        <v>11</v>
      </c>
    </row>
    <row r="119" spans="1:37" s="2269" customFormat="1" ht="11.45" customHeight="1">
      <c r="A119" s="912"/>
      <c r="B119" s="912"/>
      <c r="C119" s="912"/>
      <c r="D119" s="912"/>
      <c r="E119" s="912"/>
      <c r="F119" s="1555"/>
      <c r="G119" s="1555"/>
      <c r="H119" s="288"/>
      <c r="N119" s="1285"/>
      <c r="P119" s="1285"/>
      <c r="Q119" s="1555"/>
      <c r="R119" s="1555"/>
      <c r="S119" s="1285"/>
      <c r="T119" s="1285"/>
      <c r="U119" s="1285"/>
      <c r="V119" s="1285"/>
      <c r="W119" s="1555"/>
      <c r="X119" s="1285"/>
      <c r="Y119" s="1285"/>
      <c r="Z119" s="481"/>
      <c r="AA119" s="1285"/>
      <c r="AB119" s="1285"/>
      <c r="AC119" s="1285"/>
      <c r="AD119" s="1285"/>
      <c r="AE119" s="1285"/>
      <c r="AF119" s="1551"/>
      <c r="AG119" s="559"/>
      <c r="AH119" s="559"/>
      <c r="AI119" s="559"/>
      <c r="AJ119" s="559"/>
      <c r="AK119" s="1560">
        <v>11</v>
      </c>
    </row>
    <row r="120" spans="1:37" s="2269" customFormat="1" ht="11.45" customHeight="1">
      <c r="A120" s="912"/>
      <c r="B120" s="912"/>
      <c r="C120" s="912"/>
      <c r="D120" s="912"/>
      <c r="E120" s="912"/>
      <c r="F120" s="1555"/>
      <c r="G120" s="1555"/>
      <c r="H120" s="288"/>
      <c r="N120" s="1285"/>
      <c r="P120" s="1285"/>
      <c r="Q120" s="1555"/>
      <c r="R120" s="1555"/>
      <c r="S120" s="1285"/>
      <c r="T120" s="1285"/>
      <c r="U120" s="1285"/>
      <c r="V120" s="1285"/>
      <c r="W120" s="1555"/>
      <c r="X120" s="1285"/>
      <c r="Y120" s="1285"/>
      <c r="Z120" s="481"/>
      <c r="AA120" s="1285"/>
      <c r="AB120" s="1285"/>
      <c r="AC120" s="1285"/>
      <c r="AD120" s="1285"/>
      <c r="AE120" s="1285"/>
      <c r="AF120" s="1551"/>
      <c r="AG120" s="559"/>
      <c r="AH120" s="559"/>
      <c r="AI120" s="559"/>
      <c r="AJ120" s="559"/>
      <c r="AK120" s="1560">
        <v>11</v>
      </c>
    </row>
    <row r="121" spans="1:37" s="2269" customFormat="1" ht="11.45" customHeight="1">
      <c r="A121" s="912"/>
      <c r="B121" s="912"/>
      <c r="C121" s="912"/>
      <c r="D121" s="912"/>
      <c r="E121" s="912"/>
      <c r="F121" s="1555"/>
      <c r="G121" s="1555"/>
      <c r="H121" s="288"/>
      <c r="N121" s="1285"/>
      <c r="P121" s="1285"/>
      <c r="Q121" s="1555"/>
      <c r="R121" s="1555"/>
      <c r="S121" s="1285"/>
      <c r="T121" s="1285"/>
      <c r="U121" s="1285"/>
      <c r="V121" s="1285"/>
      <c r="W121" s="1555"/>
      <c r="X121" s="1285"/>
      <c r="Y121" s="1285"/>
      <c r="Z121" s="481"/>
      <c r="AA121" s="1285"/>
      <c r="AB121" s="1285"/>
      <c r="AC121" s="1285"/>
      <c r="AD121" s="1285"/>
      <c r="AE121" s="1285"/>
      <c r="AF121" s="1551"/>
      <c r="AG121" s="559"/>
      <c r="AH121" s="559"/>
      <c r="AI121" s="559"/>
      <c r="AJ121" s="559"/>
      <c r="AK121" s="1560">
        <v>11</v>
      </c>
    </row>
    <row r="122" spans="1:37" s="2269" customFormat="1" ht="11.45" customHeight="1">
      <c r="A122" s="912"/>
      <c r="B122" s="912"/>
      <c r="C122" s="912"/>
      <c r="D122" s="912"/>
      <c r="E122" s="912"/>
      <c r="F122" s="1555"/>
      <c r="G122" s="1555"/>
      <c r="H122" s="288"/>
      <c r="N122" s="1285"/>
      <c r="P122" s="1285"/>
      <c r="Q122" s="1555"/>
      <c r="R122" s="1555"/>
      <c r="S122" s="1285"/>
      <c r="T122" s="1285"/>
      <c r="U122" s="1285"/>
      <c r="V122" s="1285"/>
      <c r="W122" s="1555"/>
      <c r="X122" s="1285"/>
      <c r="Y122" s="1285"/>
      <c r="Z122" s="481"/>
      <c r="AA122" s="1285"/>
      <c r="AB122" s="1285"/>
      <c r="AC122" s="1285"/>
      <c r="AD122" s="1285"/>
      <c r="AE122" s="1285"/>
      <c r="AF122" s="1551"/>
      <c r="AG122" s="559"/>
      <c r="AH122" s="559"/>
      <c r="AI122" s="559"/>
      <c r="AJ122" s="559"/>
      <c r="AK122" s="1560">
        <v>11</v>
      </c>
    </row>
    <row r="123" spans="1:37" s="2269" customFormat="1" ht="11.45" customHeight="1">
      <c r="A123" s="912"/>
      <c r="B123" s="912"/>
      <c r="C123" s="912"/>
      <c r="D123" s="912"/>
      <c r="E123" s="912"/>
      <c r="F123" s="1555"/>
      <c r="G123" s="1555"/>
      <c r="H123" s="288"/>
      <c r="N123" s="1285"/>
      <c r="P123" s="1285"/>
      <c r="Q123" s="1555"/>
      <c r="R123" s="1555"/>
      <c r="S123" s="1285"/>
      <c r="T123" s="1285"/>
      <c r="U123" s="1285"/>
      <c r="V123" s="1285"/>
      <c r="W123" s="1555"/>
      <c r="X123" s="1285"/>
      <c r="Y123" s="1285"/>
      <c r="Z123" s="481"/>
      <c r="AA123" s="1285"/>
      <c r="AB123" s="1285"/>
      <c r="AC123" s="1285"/>
      <c r="AD123" s="1285"/>
      <c r="AE123" s="1285"/>
      <c r="AF123" s="1551"/>
      <c r="AG123" s="559"/>
      <c r="AH123" s="559"/>
      <c r="AI123" s="559"/>
      <c r="AJ123" s="559"/>
      <c r="AK123" s="1560">
        <v>11</v>
      </c>
    </row>
    <row r="124" spans="1:37" s="2269" customFormat="1" ht="11.45" customHeight="1">
      <c r="A124" s="912"/>
      <c r="B124" s="912"/>
      <c r="C124" s="912"/>
      <c r="D124" s="912"/>
      <c r="E124" s="912"/>
      <c r="F124" s="1555"/>
      <c r="G124" s="1555"/>
      <c r="H124" s="288"/>
      <c r="N124" s="1285"/>
      <c r="P124" s="1285"/>
      <c r="Q124" s="1555"/>
      <c r="R124" s="1555"/>
      <c r="S124" s="1285"/>
      <c r="T124" s="1285"/>
      <c r="U124" s="1285"/>
      <c r="V124" s="1285"/>
      <c r="W124" s="1555"/>
      <c r="X124" s="1285"/>
      <c r="Y124" s="1285"/>
      <c r="Z124" s="481"/>
      <c r="AA124" s="1285"/>
      <c r="AB124" s="1285"/>
      <c r="AC124" s="1285"/>
      <c r="AD124" s="1285"/>
      <c r="AE124" s="1285"/>
      <c r="AF124" s="1551"/>
      <c r="AG124" s="559"/>
      <c r="AH124" s="559"/>
      <c r="AI124" s="559"/>
      <c r="AJ124" s="559"/>
      <c r="AK124" s="1560">
        <v>11</v>
      </c>
    </row>
    <row r="125" spans="1:37" s="2269" customFormat="1" ht="11.45" customHeight="1">
      <c r="A125" s="912"/>
      <c r="B125" s="912"/>
      <c r="C125" s="912"/>
      <c r="D125" s="912"/>
      <c r="E125" s="912"/>
      <c r="F125" s="1555"/>
      <c r="G125" s="1555"/>
      <c r="H125" s="288"/>
      <c r="N125" s="1285"/>
      <c r="P125" s="1285"/>
      <c r="Q125" s="1555"/>
      <c r="R125" s="1555"/>
      <c r="S125" s="1285"/>
      <c r="T125" s="1285"/>
      <c r="U125" s="1285"/>
      <c r="V125" s="1285"/>
      <c r="W125" s="1555"/>
      <c r="X125" s="1285"/>
      <c r="Y125" s="1285"/>
      <c r="Z125" s="481"/>
      <c r="AA125" s="1285"/>
      <c r="AB125" s="1285"/>
      <c r="AC125" s="1285"/>
      <c r="AD125" s="1285"/>
      <c r="AE125" s="1285"/>
      <c r="AF125" s="1551"/>
      <c r="AG125" s="559"/>
      <c r="AH125" s="559"/>
      <c r="AI125" s="559"/>
      <c r="AJ125" s="559"/>
      <c r="AK125" s="1560">
        <v>11</v>
      </c>
    </row>
    <row r="126" spans="1:37" s="2269" customFormat="1" ht="11.45" customHeight="1">
      <c r="A126" s="912"/>
      <c r="B126" s="912"/>
      <c r="C126" s="912"/>
      <c r="D126" s="912"/>
      <c r="E126" s="912"/>
      <c r="F126" s="1555"/>
      <c r="G126" s="1555"/>
      <c r="H126" s="288"/>
      <c r="N126" s="1285"/>
      <c r="P126" s="1285"/>
      <c r="Q126" s="1555"/>
      <c r="R126" s="1555"/>
      <c r="S126" s="1285"/>
      <c r="T126" s="1285"/>
      <c r="U126" s="1285"/>
      <c r="V126" s="1285"/>
      <c r="W126" s="1555"/>
      <c r="X126" s="1285"/>
      <c r="Y126" s="1285"/>
      <c r="Z126" s="481"/>
      <c r="AA126" s="1285"/>
      <c r="AB126" s="1285"/>
      <c r="AC126" s="1285"/>
      <c r="AD126" s="1285"/>
      <c r="AE126" s="1285"/>
      <c r="AF126" s="1551"/>
      <c r="AG126" s="559"/>
      <c r="AH126" s="559"/>
      <c r="AI126" s="559"/>
      <c r="AJ126" s="559"/>
      <c r="AK126" s="1560">
        <v>11</v>
      </c>
    </row>
    <row r="127" spans="1:37" s="2269" customFormat="1" ht="11.45" customHeight="1">
      <c r="A127" s="912"/>
      <c r="B127" s="912"/>
      <c r="C127" s="912"/>
      <c r="D127" s="912"/>
      <c r="E127" s="912"/>
      <c r="F127" s="1555"/>
      <c r="G127" s="1555"/>
      <c r="H127" s="288"/>
      <c r="N127" s="1285"/>
      <c r="P127" s="1285"/>
      <c r="Q127" s="1555"/>
      <c r="R127" s="1555"/>
      <c r="S127" s="1285"/>
      <c r="T127" s="1285"/>
      <c r="U127" s="1285"/>
      <c r="V127" s="1285"/>
      <c r="W127" s="1555"/>
      <c r="X127" s="1285"/>
      <c r="Y127" s="1285"/>
      <c r="Z127" s="481"/>
      <c r="AA127" s="1285"/>
      <c r="AB127" s="1285"/>
      <c r="AC127" s="1285"/>
      <c r="AD127" s="1285"/>
      <c r="AE127" s="1285"/>
      <c r="AF127" s="1551"/>
      <c r="AG127" s="559"/>
      <c r="AH127" s="559"/>
      <c r="AI127" s="559"/>
      <c r="AJ127" s="559"/>
      <c r="AK127" s="1560">
        <v>11</v>
      </c>
    </row>
    <row r="128" spans="1:37" s="2269" customFormat="1" ht="11.45" customHeight="1">
      <c r="A128" s="912"/>
      <c r="B128" s="912"/>
      <c r="C128" s="912"/>
      <c r="D128" s="912"/>
      <c r="E128" s="912"/>
      <c r="F128" s="1555"/>
      <c r="G128" s="1555"/>
      <c r="H128" s="288"/>
      <c r="N128" s="1285"/>
      <c r="P128" s="1285"/>
      <c r="Q128" s="1555"/>
      <c r="R128" s="1555"/>
      <c r="S128" s="1285"/>
      <c r="T128" s="1285"/>
      <c r="U128" s="1285"/>
      <c r="V128" s="1285"/>
      <c r="W128" s="1555"/>
      <c r="X128" s="1285"/>
      <c r="Y128" s="1285"/>
      <c r="Z128" s="481"/>
      <c r="AA128" s="1285"/>
      <c r="AB128" s="1285"/>
      <c r="AC128" s="1285"/>
      <c r="AD128" s="1285"/>
      <c r="AE128" s="1285"/>
      <c r="AF128" s="1551"/>
      <c r="AG128" s="559"/>
      <c r="AH128" s="559"/>
      <c r="AI128" s="559"/>
      <c r="AJ128" s="559"/>
      <c r="AK128" s="1560">
        <v>11</v>
      </c>
    </row>
    <row r="129" spans="1:37" s="2269" customFormat="1" ht="11.45" customHeight="1">
      <c r="A129" s="912"/>
      <c r="B129" s="912"/>
      <c r="C129" s="912"/>
      <c r="D129" s="912"/>
      <c r="E129" s="912"/>
      <c r="F129" s="1555"/>
      <c r="G129" s="1555"/>
      <c r="H129" s="288"/>
      <c r="N129" s="1285"/>
      <c r="P129" s="1285"/>
      <c r="Q129" s="1555"/>
      <c r="R129" s="1555"/>
      <c r="S129" s="1285"/>
      <c r="T129" s="1285"/>
      <c r="U129" s="1285"/>
      <c r="V129" s="1285"/>
      <c r="W129" s="1555"/>
      <c r="X129" s="1285"/>
      <c r="Y129" s="1285"/>
      <c r="Z129" s="481"/>
      <c r="AA129" s="1285"/>
      <c r="AB129" s="1285"/>
      <c r="AC129" s="1285"/>
      <c r="AD129" s="1285"/>
      <c r="AE129" s="1285"/>
      <c r="AF129" s="1551"/>
      <c r="AG129" s="559"/>
      <c r="AH129" s="559"/>
      <c r="AI129" s="559"/>
      <c r="AJ129" s="559"/>
      <c r="AK129" s="1560">
        <v>11</v>
      </c>
    </row>
    <row r="130" spans="1:37" s="2269" customFormat="1" ht="11.45" customHeight="1">
      <c r="A130" s="912"/>
      <c r="B130" s="912"/>
      <c r="C130" s="912"/>
      <c r="D130" s="912"/>
      <c r="E130" s="912"/>
      <c r="F130" s="1555"/>
      <c r="G130" s="1555"/>
      <c r="H130" s="288"/>
      <c r="N130" s="1285"/>
      <c r="P130" s="1285"/>
      <c r="Q130" s="1555"/>
      <c r="R130" s="1555"/>
      <c r="S130" s="1285"/>
      <c r="T130" s="1285"/>
      <c r="U130" s="1285"/>
      <c r="V130" s="1285"/>
      <c r="W130" s="1555"/>
      <c r="X130" s="1285"/>
      <c r="Y130" s="1285"/>
      <c r="Z130" s="481"/>
      <c r="AA130" s="1285"/>
      <c r="AB130" s="1285"/>
      <c r="AC130" s="1285"/>
      <c r="AD130" s="1285"/>
      <c r="AE130" s="1285"/>
      <c r="AF130" s="1551"/>
      <c r="AG130" s="559"/>
      <c r="AH130" s="559"/>
      <c r="AI130" s="559"/>
      <c r="AJ130" s="559"/>
      <c r="AK130" s="1560">
        <v>11</v>
      </c>
    </row>
    <row r="131" spans="1:37" s="2269" customFormat="1" ht="11.45" customHeight="1">
      <c r="A131" s="912"/>
      <c r="B131" s="912"/>
      <c r="C131" s="912"/>
      <c r="D131" s="912"/>
      <c r="E131" s="912"/>
      <c r="F131" s="1555"/>
      <c r="G131" s="1555"/>
      <c r="H131" s="288"/>
      <c r="N131" s="1285"/>
      <c r="P131" s="1285"/>
      <c r="Q131" s="1555"/>
      <c r="R131" s="1555"/>
      <c r="S131" s="1285"/>
      <c r="T131" s="1285"/>
      <c r="U131" s="1285"/>
      <c r="V131" s="1285"/>
      <c r="W131" s="1555"/>
      <c r="X131" s="1285"/>
      <c r="Y131" s="1285"/>
      <c r="Z131" s="481"/>
      <c r="AA131" s="1285"/>
      <c r="AB131" s="1285"/>
      <c r="AC131" s="1285"/>
      <c r="AD131" s="1285"/>
      <c r="AE131" s="1285"/>
      <c r="AF131" s="1551"/>
      <c r="AG131" s="559"/>
      <c r="AH131" s="559"/>
      <c r="AI131" s="559"/>
      <c r="AJ131" s="559"/>
      <c r="AK131" s="1560">
        <v>11</v>
      </c>
    </row>
    <row r="132" spans="1:37" s="2269" customFormat="1" ht="11.45" customHeight="1">
      <c r="A132" s="912"/>
      <c r="B132" s="912"/>
      <c r="C132" s="912"/>
      <c r="D132" s="912"/>
      <c r="E132" s="912"/>
      <c r="F132" s="1555"/>
      <c r="G132" s="1555"/>
      <c r="H132" s="288"/>
      <c r="N132" s="1285"/>
      <c r="P132" s="1285"/>
      <c r="Q132" s="1555"/>
      <c r="R132" s="1555"/>
      <c r="S132" s="1285"/>
      <c r="T132" s="1285"/>
      <c r="U132" s="1285"/>
      <c r="V132" s="1285"/>
      <c r="W132" s="1555"/>
      <c r="X132" s="1285"/>
      <c r="Y132" s="1285"/>
      <c r="Z132" s="481"/>
      <c r="AA132" s="1285"/>
      <c r="AB132" s="1285"/>
      <c r="AC132" s="1285"/>
      <c r="AD132" s="1285"/>
      <c r="AE132" s="1285"/>
      <c r="AF132" s="1551"/>
      <c r="AG132" s="559"/>
      <c r="AH132" s="559"/>
      <c r="AI132" s="559"/>
      <c r="AJ132" s="559"/>
      <c r="AK132" s="1560">
        <v>11</v>
      </c>
    </row>
    <row r="133" spans="1:37" s="2269" customFormat="1" ht="11.45" customHeight="1">
      <c r="A133" s="912"/>
      <c r="B133" s="912"/>
      <c r="C133" s="912"/>
      <c r="D133" s="912"/>
      <c r="E133" s="912"/>
      <c r="F133" s="1555"/>
      <c r="G133" s="1555"/>
      <c r="H133" s="288"/>
      <c r="N133" s="1285"/>
      <c r="P133" s="1285"/>
      <c r="Q133" s="1555"/>
      <c r="R133" s="1555"/>
      <c r="S133" s="1285"/>
      <c r="T133" s="1285"/>
      <c r="U133" s="1285"/>
      <c r="V133" s="1285"/>
      <c r="W133" s="1555"/>
      <c r="X133" s="1285"/>
      <c r="Y133" s="1285"/>
      <c r="Z133" s="481"/>
      <c r="AA133" s="1285"/>
      <c r="AB133" s="1285"/>
      <c r="AC133" s="1285"/>
      <c r="AD133" s="1285"/>
      <c r="AE133" s="1285"/>
      <c r="AF133" s="1551"/>
      <c r="AG133" s="559"/>
      <c r="AH133" s="559"/>
      <c r="AI133" s="559"/>
      <c r="AJ133" s="559"/>
      <c r="AK133" s="1560">
        <v>11</v>
      </c>
    </row>
    <row r="134" spans="1:37" s="2269" customFormat="1" ht="11.45" customHeight="1">
      <c r="A134" s="912"/>
      <c r="B134" s="912"/>
      <c r="C134" s="912"/>
      <c r="D134" s="912"/>
      <c r="E134" s="912"/>
      <c r="F134" s="1555"/>
      <c r="G134" s="1555"/>
      <c r="H134" s="288"/>
      <c r="N134" s="1285"/>
      <c r="P134" s="1285"/>
      <c r="Q134" s="1555"/>
      <c r="R134" s="1555"/>
      <c r="S134" s="1285"/>
      <c r="T134" s="1285"/>
      <c r="U134" s="1285"/>
      <c r="V134" s="1285"/>
      <c r="W134" s="1555"/>
      <c r="X134" s="1285"/>
      <c r="Y134" s="1285"/>
      <c r="Z134" s="481"/>
      <c r="AA134" s="1285"/>
      <c r="AB134" s="1285"/>
      <c r="AC134" s="1285"/>
      <c r="AD134" s="1285"/>
      <c r="AE134" s="1285"/>
      <c r="AF134" s="1551"/>
      <c r="AG134" s="559"/>
      <c r="AH134" s="559"/>
      <c r="AI134" s="559"/>
      <c r="AJ134" s="559"/>
      <c r="AK134" s="1560">
        <v>11</v>
      </c>
    </row>
    <row r="135" spans="1:37" s="2269" customFormat="1" ht="11.45" customHeight="1">
      <c r="A135" s="912"/>
      <c r="B135" s="912"/>
      <c r="C135" s="912"/>
      <c r="D135" s="912"/>
      <c r="E135" s="912"/>
      <c r="F135" s="1555"/>
      <c r="G135" s="1555"/>
      <c r="H135" s="288"/>
      <c r="N135" s="1285"/>
      <c r="P135" s="1285"/>
      <c r="Q135" s="1555"/>
      <c r="R135" s="1555"/>
      <c r="S135" s="1285"/>
      <c r="T135" s="1285"/>
      <c r="U135" s="1285"/>
      <c r="V135" s="1285"/>
      <c r="W135" s="1555"/>
      <c r="X135" s="1285"/>
      <c r="Y135" s="1285"/>
      <c r="Z135" s="481"/>
      <c r="AA135" s="1285"/>
      <c r="AB135" s="1285"/>
      <c r="AC135" s="1285"/>
      <c r="AD135" s="1285"/>
      <c r="AE135" s="1285"/>
      <c r="AF135" s="1551"/>
      <c r="AG135" s="559"/>
      <c r="AH135" s="559"/>
      <c r="AI135" s="559"/>
      <c r="AJ135" s="559"/>
      <c r="AK135" s="1560">
        <v>11</v>
      </c>
    </row>
    <row r="136" spans="1:37" s="2269" customFormat="1" ht="11.45" customHeight="1">
      <c r="A136" s="912"/>
      <c r="B136" s="912"/>
      <c r="C136" s="912"/>
      <c r="D136" s="912"/>
      <c r="E136" s="912"/>
      <c r="F136" s="1555"/>
      <c r="G136" s="1555"/>
      <c r="H136" s="288"/>
      <c r="N136" s="1285"/>
      <c r="P136" s="1285"/>
      <c r="Q136" s="1555"/>
      <c r="R136" s="1555"/>
      <c r="S136" s="1285"/>
      <c r="T136" s="1285"/>
      <c r="U136" s="1285"/>
      <c r="V136" s="1285"/>
      <c r="W136" s="1555"/>
      <c r="X136" s="1285"/>
      <c r="Y136" s="1285"/>
      <c r="Z136" s="481"/>
      <c r="AA136" s="1285"/>
      <c r="AB136" s="1285"/>
      <c r="AC136" s="1285"/>
      <c r="AD136" s="1285"/>
      <c r="AE136" s="1285"/>
      <c r="AF136" s="1551"/>
      <c r="AG136" s="559"/>
      <c r="AH136" s="559"/>
      <c r="AI136" s="559"/>
      <c r="AJ136" s="559"/>
      <c r="AK136" s="1560">
        <v>11</v>
      </c>
    </row>
    <row r="137" spans="1:37" s="2269" customFormat="1" ht="11.45" customHeight="1">
      <c r="A137" s="912"/>
      <c r="B137" s="912"/>
      <c r="C137" s="912"/>
      <c r="D137" s="912"/>
      <c r="E137" s="912"/>
      <c r="F137" s="1555"/>
      <c r="G137" s="1555"/>
      <c r="H137" s="288"/>
      <c r="N137" s="1285"/>
      <c r="P137" s="1285"/>
      <c r="Q137" s="1555"/>
      <c r="R137" s="1555"/>
      <c r="S137" s="1285"/>
      <c r="T137" s="1285"/>
      <c r="U137" s="1285"/>
      <c r="V137" s="1285"/>
      <c r="W137" s="1555"/>
      <c r="X137" s="1285"/>
      <c r="Y137" s="1285"/>
      <c r="Z137" s="481"/>
      <c r="AA137" s="1285"/>
      <c r="AB137" s="1285"/>
      <c r="AC137" s="1285"/>
      <c r="AD137" s="1285"/>
      <c r="AE137" s="1285"/>
      <c r="AF137" s="1551"/>
      <c r="AG137" s="559"/>
      <c r="AH137" s="559"/>
      <c r="AI137" s="559"/>
      <c r="AJ137" s="559"/>
      <c r="AK137" s="1560">
        <v>11</v>
      </c>
    </row>
    <row r="138" spans="1:37" s="2269" customFormat="1" ht="11.45" customHeight="1">
      <c r="A138" s="912"/>
      <c r="B138" s="912"/>
      <c r="C138" s="912"/>
      <c r="D138" s="912"/>
      <c r="E138" s="912"/>
      <c r="F138" s="1555"/>
      <c r="G138" s="1555"/>
      <c r="H138" s="288"/>
      <c r="N138" s="1285"/>
      <c r="P138" s="1285"/>
      <c r="Q138" s="1555"/>
      <c r="R138" s="1555"/>
      <c r="S138" s="1285"/>
      <c r="T138" s="1285"/>
      <c r="U138" s="1285"/>
      <c r="V138" s="1285"/>
      <c r="W138" s="1555"/>
      <c r="X138" s="1285"/>
      <c r="Y138" s="1285"/>
      <c r="Z138" s="481"/>
      <c r="AA138" s="1285"/>
      <c r="AB138" s="1285"/>
      <c r="AC138" s="1285"/>
      <c r="AD138" s="1285"/>
      <c r="AE138" s="1285"/>
      <c r="AF138" s="1551"/>
      <c r="AG138" s="559"/>
      <c r="AH138" s="559"/>
      <c r="AI138" s="559"/>
      <c r="AJ138" s="559"/>
      <c r="AK138" s="1560">
        <v>11</v>
      </c>
    </row>
    <row r="139" spans="1:37" s="2269" customFormat="1" ht="11.45" customHeight="1">
      <c r="A139" s="912"/>
      <c r="B139" s="912"/>
      <c r="C139" s="912"/>
      <c r="D139" s="912"/>
      <c r="E139" s="912"/>
      <c r="F139" s="1555"/>
      <c r="G139" s="1555"/>
      <c r="H139" s="288"/>
      <c r="N139" s="1285"/>
      <c r="P139" s="1285"/>
      <c r="Q139" s="1555"/>
      <c r="R139" s="1555"/>
      <c r="S139" s="1285"/>
      <c r="T139" s="1285"/>
      <c r="U139" s="1285"/>
      <c r="V139" s="1285"/>
      <c r="W139" s="1555"/>
      <c r="X139" s="1285"/>
      <c r="Y139" s="1285"/>
      <c r="Z139" s="481"/>
      <c r="AA139" s="1285"/>
      <c r="AB139" s="1285"/>
      <c r="AC139" s="1285"/>
      <c r="AD139" s="1285"/>
      <c r="AE139" s="1285"/>
      <c r="AF139" s="1551"/>
      <c r="AG139" s="559"/>
      <c r="AH139" s="559"/>
      <c r="AI139" s="559"/>
      <c r="AJ139" s="559"/>
      <c r="AK139" s="1560">
        <v>11</v>
      </c>
    </row>
    <row r="140" spans="1:37" s="2269" customFormat="1" ht="11.45" customHeight="1">
      <c r="A140" s="912"/>
      <c r="B140" s="912"/>
      <c r="C140" s="912"/>
      <c r="D140" s="912"/>
      <c r="E140" s="912"/>
      <c r="F140" s="1555"/>
      <c r="G140" s="1555"/>
      <c r="H140" s="288"/>
      <c r="N140" s="1285"/>
      <c r="P140" s="1285"/>
      <c r="Q140" s="1555"/>
      <c r="R140" s="1555"/>
      <c r="S140" s="1285"/>
      <c r="T140" s="1285"/>
      <c r="U140" s="1285"/>
      <c r="V140" s="1285"/>
      <c r="W140" s="1555"/>
      <c r="X140" s="1285"/>
      <c r="Y140" s="1285"/>
      <c r="Z140" s="481"/>
      <c r="AA140" s="1285"/>
      <c r="AB140" s="1285"/>
      <c r="AC140" s="1285"/>
      <c r="AD140" s="1285"/>
      <c r="AE140" s="1285"/>
      <c r="AF140" s="1551"/>
      <c r="AG140" s="559"/>
      <c r="AH140" s="559"/>
      <c r="AI140" s="559"/>
      <c r="AJ140" s="559"/>
      <c r="AK140" s="1560">
        <v>11</v>
      </c>
    </row>
    <row r="141" spans="1:37" s="2269" customFormat="1" ht="11.45" customHeight="1">
      <c r="A141" s="912"/>
      <c r="B141" s="912"/>
      <c r="C141" s="912"/>
      <c r="D141" s="912"/>
      <c r="E141" s="912"/>
      <c r="F141" s="1555"/>
      <c r="G141" s="1555"/>
      <c r="H141" s="288"/>
      <c r="N141" s="1285"/>
      <c r="P141" s="1285"/>
      <c r="Q141" s="1555"/>
      <c r="R141" s="1555"/>
      <c r="S141" s="1285"/>
      <c r="T141" s="1285"/>
      <c r="U141" s="1285"/>
      <c r="V141" s="1285"/>
      <c r="W141" s="1555"/>
      <c r="X141" s="1285"/>
      <c r="Y141" s="1285"/>
      <c r="Z141" s="481"/>
      <c r="AA141" s="1285"/>
      <c r="AB141" s="1285"/>
      <c r="AC141" s="1285"/>
      <c r="AD141" s="1285"/>
      <c r="AE141" s="1285"/>
      <c r="AF141" s="1551"/>
      <c r="AG141" s="559"/>
      <c r="AH141" s="559"/>
      <c r="AI141" s="559"/>
      <c r="AJ141" s="559"/>
      <c r="AK141" s="1560">
        <v>11</v>
      </c>
    </row>
    <row r="142" spans="1:37" s="2269" customFormat="1" ht="11.45" customHeight="1">
      <c r="A142" s="912"/>
      <c r="B142" s="912"/>
      <c r="C142" s="912"/>
      <c r="D142" s="912"/>
      <c r="E142" s="912"/>
      <c r="F142" s="1555"/>
      <c r="G142" s="1555"/>
      <c r="H142" s="288"/>
      <c r="N142" s="1285"/>
      <c r="P142" s="1285"/>
      <c r="Q142" s="1555"/>
      <c r="R142" s="1555"/>
      <c r="S142" s="1285"/>
      <c r="T142" s="1285"/>
      <c r="U142" s="1285"/>
      <c r="V142" s="1285"/>
      <c r="W142" s="1555"/>
      <c r="X142" s="1285"/>
      <c r="Y142" s="1285"/>
      <c r="Z142" s="481"/>
      <c r="AA142" s="1285"/>
      <c r="AB142" s="1285"/>
      <c r="AC142" s="1285"/>
      <c r="AD142" s="1285"/>
      <c r="AE142" s="1285"/>
      <c r="AF142" s="1551"/>
      <c r="AG142" s="559"/>
      <c r="AH142" s="559"/>
      <c r="AI142" s="559"/>
      <c r="AJ142" s="559"/>
      <c r="AK142" s="1560">
        <v>11</v>
      </c>
    </row>
    <row r="143" spans="1:37" s="2269" customFormat="1" ht="11.45" customHeight="1">
      <c r="A143" s="912"/>
      <c r="B143" s="912"/>
      <c r="C143" s="912"/>
      <c r="D143" s="912"/>
      <c r="E143" s="912"/>
      <c r="F143" s="1555"/>
      <c r="G143" s="1555"/>
      <c r="H143" s="288"/>
      <c r="N143" s="1285"/>
      <c r="P143" s="1285"/>
      <c r="Q143" s="1555"/>
      <c r="R143" s="1555"/>
      <c r="S143" s="1285"/>
      <c r="T143" s="1285"/>
      <c r="U143" s="1285"/>
      <c r="V143" s="1285"/>
      <c r="W143" s="1555"/>
      <c r="X143" s="1285"/>
      <c r="Y143" s="1285"/>
      <c r="Z143" s="481"/>
      <c r="AA143" s="1285"/>
      <c r="AB143" s="1285"/>
      <c r="AC143" s="1285"/>
      <c r="AD143" s="1285"/>
      <c r="AE143" s="1285"/>
      <c r="AF143" s="1551"/>
      <c r="AG143" s="559"/>
      <c r="AH143" s="559"/>
      <c r="AI143" s="559"/>
      <c r="AJ143" s="559"/>
      <c r="AK143" s="1560">
        <v>11</v>
      </c>
    </row>
    <row r="144" spans="1:37" s="2269" customFormat="1" ht="11.45" customHeight="1">
      <c r="A144" s="912"/>
      <c r="B144" s="912"/>
      <c r="C144" s="912"/>
      <c r="D144" s="912"/>
      <c r="E144" s="912"/>
      <c r="F144" s="1555"/>
      <c r="G144" s="1555"/>
      <c r="H144" s="288"/>
      <c r="N144" s="1285"/>
      <c r="P144" s="1285"/>
      <c r="Q144" s="1555"/>
      <c r="R144" s="1555"/>
      <c r="S144" s="1285"/>
      <c r="T144" s="1285"/>
      <c r="U144" s="1285"/>
      <c r="V144" s="1285"/>
      <c r="W144" s="1555"/>
      <c r="X144" s="1285"/>
      <c r="Y144" s="1285"/>
      <c r="Z144" s="481"/>
      <c r="AA144" s="1285"/>
      <c r="AB144" s="1285"/>
      <c r="AC144" s="1285"/>
      <c r="AD144" s="1285"/>
      <c r="AE144" s="1285"/>
      <c r="AF144" s="1551"/>
      <c r="AG144" s="559"/>
      <c r="AH144" s="559"/>
      <c r="AI144" s="559"/>
      <c r="AJ144" s="559"/>
      <c r="AK144" s="1560">
        <v>11</v>
      </c>
    </row>
    <row r="145" spans="1:37" s="2269" customFormat="1" ht="11.45" customHeight="1">
      <c r="A145" s="912"/>
      <c r="B145" s="912"/>
      <c r="C145" s="912"/>
      <c r="D145" s="912"/>
      <c r="E145" s="912"/>
      <c r="F145" s="1555"/>
      <c r="G145" s="1555"/>
      <c r="H145" s="288"/>
      <c r="N145" s="1285"/>
      <c r="P145" s="1285"/>
      <c r="Q145" s="1555"/>
      <c r="R145" s="1555"/>
      <c r="S145" s="1285"/>
      <c r="T145" s="1285"/>
      <c r="U145" s="1285"/>
      <c r="V145" s="1285"/>
      <c r="W145" s="1555"/>
      <c r="X145" s="1285"/>
      <c r="Y145" s="1285"/>
      <c r="Z145" s="481"/>
      <c r="AA145" s="1285"/>
      <c r="AB145" s="1285"/>
      <c r="AC145" s="1285"/>
      <c r="AD145" s="1285"/>
      <c r="AE145" s="1285"/>
      <c r="AF145" s="1551"/>
      <c r="AG145" s="559"/>
      <c r="AH145" s="559"/>
      <c r="AI145" s="559"/>
      <c r="AJ145" s="559"/>
      <c r="AK145" s="1560">
        <v>11</v>
      </c>
    </row>
    <row r="146" spans="1:37" s="2269" customFormat="1" ht="11.45" customHeight="1">
      <c r="A146" s="912"/>
      <c r="B146" s="912"/>
      <c r="C146" s="912"/>
      <c r="D146" s="912"/>
      <c r="E146" s="912"/>
      <c r="F146" s="1555"/>
      <c r="G146" s="1555"/>
      <c r="H146" s="288"/>
      <c r="N146" s="1285"/>
      <c r="P146" s="1285"/>
      <c r="Q146" s="1555"/>
      <c r="R146" s="1555"/>
      <c r="S146" s="1285"/>
      <c r="T146" s="1285"/>
      <c r="U146" s="1285"/>
      <c r="V146" s="1285"/>
      <c r="W146" s="1555"/>
      <c r="X146" s="1285"/>
      <c r="Y146" s="1285"/>
      <c r="Z146" s="481"/>
      <c r="AA146" s="1285"/>
      <c r="AB146" s="1285"/>
      <c r="AC146" s="1285"/>
      <c r="AD146" s="1285"/>
      <c r="AE146" s="1285"/>
      <c r="AF146" s="1551"/>
      <c r="AG146" s="559"/>
      <c r="AH146" s="559"/>
      <c r="AI146" s="559"/>
      <c r="AJ146" s="559"/>
      <c r="AK146" s="1560">
        <v>11</v>
      </c>
    </row>
    <row r="147" spans="1:37" s="2269" customFormat="1" ht="11.45" customHeight="1">
      <c r="A147" s="912"/>
      <c r="B147" s="912"/>
      <c r="C147" s="912"/>
      <c r="D147" s="912"/>
      <c r="E147" s="912"/>
      <c r="F147" s="1555"/>
      <c r="G147" s="1555"/>
      <c r="H147" s="288"/>
      <c r="N147" s="1285"/>
      <c r="P147" s="1285"/>
      <c r="Q147" s="1555"/>
      <c r="R147" s="1555"/>
      <c r="S147" s="1285"/>
      <c r="T147" s="1285"/>
      <c r="U147" s="1285"/>
      <c r="V147" s="1285"/>
      <c r="W147" s="1555"/>
      <c r="X147" s="1285"/>
      <c r="Y147" s="1285"/>
      <c r="Z147" s="481"/>
      <c r="AA147" s="1285"/>
      <c r="AB147" s="1285"/>
      <c r="AC147" s="1285"/>
      <c r="AD147" s="1285"/>
      <c r="AE147" s="1285"/>
      <c r="AF147" s="1551"/>
      <c r="AG147" s="559"/>
      <c r="AH147" s="559"/>
      <c r="AI147" s="559"/>
      <c r="AJ147" s="559"/>
      <c r="AK147" s="1560">
        <v>11</v>
      </c>
    </row>
    <row r="148" spans="1:37" s="2269" customFormat="1" ht="11.45" customHeight="1">
      <c r="A148" s="912"/>
      <c r="B148" s="912"/>
      <c r="C148" s="912"/>
      <c r="D148" s="912"/>
      <c r="E148" s="912"/>
      <c r="F148" s="1555"/>
      <c r="G148" s="1555"/>
      <c r="H148" s="288"/>
      <c r="N148" s="1285"/>
      <c r="P148" s="1285"/>
      <c r="Q148" s="1555"/>
      <c r="R148" s="1555"/>
      <c r="S148" s="1285"/>
      <c r="T148" s="1285"/>
      <c r="U148" s="1285"/>
      <c r="V148" s="1285"/>
      <c r="W148" s="1555"/>
      <c r="X148" s="1285"/>
      <c r="Y148" s="1285"/>
      <c r="Z148" s="481"/>
      <c r="AA148" s="1285"/>
      <c r="AB148" s="1285"/>
      <c r="AC148" s="1285"/>
      <c r="AD148" s="1285"/>
      <c r="AE148" s="1285"/>
      <c r="AF148" s="1551"/>
      <c r="AG148" s="559"/>
      <c r="AH148" s="559"/>
      <c r="AI148" s="559"/>
      <c r="AJ148" s="559"/>
      <c r="AK148" s="1560">
        <v>11</v>
      </c>
    </row>
    <row r="149" spans="1:37" s="2269" customFormat="1" ht="11.45" customHeight="1">
      <c r="A149" s="912"/>
      <c r="B149" s="912"/>
      <c r="C149" s="912"/>
      <c r="D149" s="912"/>
      <c r="E149" s="912"/>
      <c r="F149" s="1555"/>
      <c r="G149" s="1555"/>
      <c r="H149" s="288"/>
      <c r="N149" s="1285"/>
      <c r="P149" s="1285"/>
      <c r="Q149" s="1555"/>
      <c r="R149" s="1555"/>
      <c r="S149" s="1285"/>
      <c r="T149" s="1285"/>
      <c r="U149" s="1285"/>
      <c r="V149" s="1285"/>
      <c r="W149" s="1555"/>
      <c r="X149" s="1285"/>
      <c r="Y149" s="1285"/>
      <c r="Z149" s="481"/>
      <c r="AA149" s="1285"/>
      <c r="AB149" s="1285"/>
      <c r="AC149" s="1285"/>
      <c r="AD149" s="1285"/>
      <c r="AE149" s="1285"/>
      <c r="AF149" s="1551"/>
      <c r="AG149" s="559"/>
      <c r="AH149" s="559"/>
      <c r="AI149" s="559"/>
      <c r="AJ149" s="559"/>
      <c r="AK149" s="1560">
        <v>11</v>
      </c>
    </row>
    <row r="150" spans="1:37" s="2269" customFormat="1" ht="11.45" customHeight="1">
      <c r="A150" s="912"/>
      <c r="B150" s="912"/>
      <c r="C150" s="912"/>
      <c r="D150" s="912"/>
      <c r="E150" s="912"/>
      <c r="F150" s="1555"/>
      <c r="G150" s="1555"/>
      <c r="H150" s="288"/>
      <c r="N150" s="1285"/>
      <c r="P150" s="1285"/>
      <c r="Q150" s="1555"/>
      <c r="R150" s="1555"/>
      <c r="S150" s="1285"/>
      <c r="T150" s="1285"/>
      <c r="U150" s="1285"/>
      <c r="V150" s="1285"/>
      <c r="W150" s="1555"/>
      <c r="X150" s="1285"/>
      <c r="Y150" s="1285"/>
      <c r="Z150" s="481"/>
      <c r="AA150" s="1285"/>
      <c r="AB150" s="1285"/>
      <c r="AC150" s="1285"/>
      <c r="AD150" s="1285"/>
      <c r="AE150" s="1285"/>
      <c r="AF150" s="1551"/>
      <c r="AG150" s="559"/>
      <c r="AH150" s="559"/>
      <c r="AI150" s="559"/>
      <c r="AJ150" s="559"/>
      <c r="AK150" s="1560">
        <v>11</v>
      </c>
    </row>
    <row r="151" spans="1:37" s="2269" customFormat="1" ht="11.45" customHeight="1">
      <c r="A151" s="912"/>
      <c r="B151" s="912"/>
      <c r="C151" s="912"/>
      <c r="D151" s="912"/>
      <c r="E151" s="912"/>
      <c r="F151" s="1555"/>
      <c r="G151" s="1555"/>
      <c r="H151" s="288"/>
      <c r="N151" s="1285"/>
      <c r="P151" s="1285"/>
      <c r="Q151" s="1555"/>
      <c r="R151" s="1555"/>
      <c r="S151" s="1285"/>
      <c r="T151" s="1285"/>
      <c r="U151" s="1285"/>
      <c r="V151" s="1285"/>
      <c r="W151" s="1555"/>
      <c r="X151" s="1285"/>
      <c r="Y151" s="1285"/>
      <c r="Z151" s="481"/>
      <c r="AA151" s="1285"/>
      <c r="AB151" s="1285"/>
      <c r="AC151" s="1285"/>
      <c r="AD151" s="1285"/>
      <c r="AE151" s="1285"/>
      <c r="AF151" s="1551"/>
      <c r="AG151" s="559"/>
      <c r="AH151" s="559"/>
      <c r="AI151" s="559"/>
      <c r="AJ151" s="559"/>
      <c r="AK151" s="1560">
        <v>11</v>
      </c>
    </row>
    <row r="152" spans="1:37" s="2269" customFormat="1" ht="11.45" customHeight="1">
      <c r="A152" s="912"/>
      <c r="B152" s="912"/>
      <c r="C152" s="912"/>
      <c r="D152" s="912"/>
      <c r="E152" s="912"/>
      <c r="F152" s="1555"/>
      <c r="G152" s="1555"/>
      <c r="H152" s="288"/>
      <c r="N152" s="1285"/>
      <c r="P152" s="1285"/>
      <c r="Q152" s="1555"/>
      <c r="R152" s="1555"/>
      <c r="S152" s="1285"/>
      <c r="T152" s="1285"/>
      <c r="U152" s="1285"/>
      <c r="V152" s="1285"/>
      <c r="W152" s="1555"/>
      <c r="X152" s="1285"/>
      <c r="Y152" s="1285"/>
      <c r="Z152" s="481"/>
      <c r="AA152" s="1285"/>
      <c r="AB152" s="1285"/>
      <c r="AC152" s="1285"/>
      <c r="AD152" s="1285"/>
      <c r="AE152" s="1285"/>
      <c r="AF152" s="1551"/>
      <c r="AG152" s="559"/>
      <c r="AH152" s="559"/>
      <c r="AI152" s="559"/>
      <c r="AJ152" s="559"/>
      <c r="AK152" s="1560">
        <v>11</v>
      </c>
    </row>
    <row r="153" spans="1:37" s="2269" customFormat="1" ht="11.45" customHeight="1">
      <c r="A153" s="912"/>
      <c r="B153" s="912"/>
      <c r="C153" s="912"/>
      <c r="D153" s="912"/>
      <c r="E153" s="912"/>
      <c r="F153" s="1555"/>
      <c r="G153" s="1555"/>
      <c r="H153" s="288"/>
      <c r="N153" s="1285"/>
      <c r="P153" s="1285"/>
      <c r="Q153" s="1555"/>
      <c r="R153" s="1555"/>
      <c r="S153" s="1285"/>
      <c r="T153" s="1285"/>
      <c r="U153" s="1285"/>
      <c r="V153" s="1285"/>
      <c r="W153" s="1555"/>
      <c r="X153" s="1285"/>
      <c r="Y153" s="1285"/>
      <c r="Z153" s="481"/>
      <c r="AA153" s="1285"/>
      <c r="AB153" s="1285"/>
      <c r="AC153" s="1285"/>
      <c r="AD153" s="1285"/>
      <c r="AE153" s="1285"/>
      <c r="AF153" s="1551"/>
      <c r="AG153" s="559"/>
      <c r="AH153" s="559"/>
      <c r="AI153" s="559"/>
      <c r="AJ153" s="559"/>
      <c r="AK153" s="1560">
        <v>11</v>
      </c>
    </row>
    <row r="154" spans="1:37" s="2269" customFormat="1" ht="11.45" customHeight="1">
      <c r="A154" s="912"/>
      <c r="B154" s="912"/>
      <c r="C154" s="912"/>
      <c r="D154" s="912"/>
      <c r="E154" s="912"/>
      <c r="F154" s="1555"/>
      <c r="G154" s="1555"/>
      <c r="H154" s="288"/>
      <c r="N154" s="1285"/>
      <c r="P154" s="1285"/>
      <c r="Q154" s="1555"/>
      <c r="R154" s="1555"/>
      <c r="S154" s="1285"/>
      <c r="T154" s="1285"/>
      <c r="U154" s="1285"/>
      <c r="V154" s="1285"/>
      <c r="W154" s="1555"/>
      <c r="X154" s="1285"/>
      <c r="Y154" s="1285"/>
      <c r="Z154" s="481"/>
      <c r="AA154" s="1285"/>
      <c r="AB154" s="1285"/>
      <c r="AC154" s="1285"/>
      <c r="AD154" s="1285"/>
      <c r="AE154" s="1285"/>
      <c r="AF154" s="1551"/>
      <c r="AG154" s="559"/>
      <c r="AH154" s="559"/>
      <c r="AI154" s="559"/>
      <c r="AJ154" s="559"/>
      <c r="AK154" s="1560">
        <v>11</v>
      </c>
    </row>
    <row r="155" spans="1:37" s="2269" customFormat="1" ht="11.45" customHeight="1">
      <c r="A155" s="912"/>
      <c r="B155" s="912"/>
      <c r="C155" s="912"/>
      <c r="D155" s="912"/>
      <c r="E155" s="912"/>
      <c r="F155" s="1555"/>
      <c r="G155" s="1555"/>
      <c r="H155" s="288"/>
      <c r="N155" s="1285"/>
      <c r="P155" s="1285"/>
      <c r="Q155" s="1555"/>
      <c r="R155" s="1555"/>
      <c r="S155" s="1285"/>
      <c r="T155" s="1285"/>
      <c r="U155" s="1285"/>
      <c r="V155" s="1285"/>
      <c r="W155" s="1555"/>
      <c r="X155" s="1285"/>
      <c r="Y155" s="1285"/>
      <c r="Z155" s="481"/>
      <c r="AA155" s="1285"/>
      <c r="AB155" s="1285"/>
      <c r="AC155" s="1285"/>
      <c r="AD155" s="1285"/>
      <c r="AE155" s="1285"/>
      <c r="AF155" s="1551"/>
      <c r="AG155" s="559"/>
      <c r="AH155" s="559"/>
      <c r="AI155" s="559"/>
      <c r="AJ155" s="559"/>
      <c r="AK155" s="1560">
        <v>11</v>
      </c>
    </row>
    <row r="156" spans="1:37" s="2269" customFormat="1" ht="11.45" customHeight="1">
      <c r="A156" s="912"/>
      <c r="B156" s="912"/>
      <c r="C156" s="912"/>
      <c r="D156" s="912"/>
      <c r="E156" s="912"/>
      <c r="F156" s="1555"/>
      <c r="G156" s="1555"/>
      <c r="H156" s="288"/>
      <c r="N156" s="1285"/>
      <c r="P156" s="1285"/>
      <c r="Q156" s="1555"/>
      <c r="R156" s="1555"/>
      <c r="S156" s="1285"/>
      <c r="T156" s="1285"/>
      <c r="U156" s="1285"/>
      <c r="V156" s="1285"/>
      <c r="W156" s="1555"/>
      <c r="X156" s="1285"/>
      <c r="Y156" s="1285"/>
      <c r="Z156" s="481"/>
      <c r="AA156" s="1285"/>
      <c r="AB156" s="1285"/>
      <c r="AC156" s="1285"/>
      <c r="AD156" s="1285"/>
      <c r="AE156" s="1285"/>
      <c r="AF156" s="1551"/>
      <c r="AG156" s="559"/>
      <c r="AH156" s="559"/>
      <c r="AI156" s="559"/>
      <c r="AJ156" s="559"/>
      <c r="AK156" s="1560">
        <v>11</v>
      </c>
    </row>
    <row r="157" spans="1:37" s="2269" customFormat="1" ht="11.45" customHeight="1">
      <c r="A157" s="912"/>
      <c r="B157" s="912"/>
      <c r="C157" s="912"/>
      <c r="D157" s="912"/>
      <c r="E157" s="912"/>
      <c r="F157" s="1555"/>
      <c r="G157" s="1555"/>
      <c r="H157" s="288"/>
      <c r="N157" s="1285"/>
      <c r="P157" s="1285"/>
      <c r="Q157" s="1555"/>
      <c r="R157" s="1555"/>
      <c r="S157" s="1285"/>
      <c r="T157" s="1285"/>
      <c r="U157" s="1285"/>
      <c r="V157" s="1285"/>
      <c r="W157" s="1555"/>
      <c r="X157" s="1285"/>
      <c r="Y157" s="1285"/>
      <c r="Z157" s="481"/>
      <c r="AA157" s="1285"/>
      <c r="AB157" s="1285"/>
      <c r="AC157" s="1285"/>
      <c r="AD157" s="1285"/>
      <c r="AE157" s="1285"/>
      <c r="AF157" s="1551"/>
      <c r="AG157" s="559"/>
      <c r="AH157" s="559"/>
      <c r="AI157" s="559"/>
      <c r="AJ157" s="559"/>
      <c r="AK157" s="1560">
        <v>11</v>
      </c>
    </row>
    <row r="158" spans="1:37" s="2269" customFormat="1" ht="11.45" customHeight="1">
      <c r="A158" s="912"/>
      <c r="B158" s="912"/>
      <c r="C158" s="912"/>
      <c r="D158" s="912"/>
      <c r="E158" s="912"/>
      <c r="F158" s="1555"/>
      <c r="G158" s="1555"/>
      <c r="H158" s="288"/>
      <c r="N158" s="1285"/>
      <c r="P158" s="1285"/>
      <c r="Q158" s="1555"/>
      <c r="R158" s="1555"/>
      <c r="S158" s="1285"/>
      <c r="T158" s="1285"/>
      <c r="U158" s="1285"/>
      <c r="V158" s="1285"/>
      <c r="W158" s="1555"/>
      <c r="X158" s="1285"/>
      <c r="Y158" s="1285"/>
      <c r="Z158" s="481"/>
      <c r="AA158" s="1285"/>
      <c r="AB158" s="1285"/>
      <c r="AC158" s="1285"/>
      <c r="AD158" s="1285"/>
      <c r="AE158" s="1285"/>
      <c r="AF158" s="1551"/>
      <c r="AG158" s="559"/>
      <c r="AH158" s="559"/>
      <c r="AI158" s="559"/>
      <c r="AJ158" s="559"/>
      <c r="AK158" s="1560">
        <v>11</v>
      </c>
    </row>
    <row r="159" spans="1:37" s="2269" customFormat="1" ht="11.45" customHeight="1">
      <c r="A159" s="912"/>
      <c r="B159" s="912"/>
      <c r="C159" s="912"/>
      <c r="D159" s="912"/>
      <c r="E159" s="912"/>
      <c r="F159" s="1555"/>
      <c r="G159" s="1555"/>
      <c r="H159" s="288"/>
      <c r="N159" s="1285"/>
      <c r="P159" s="1285"/>
      <c r="Q159" s="1555"/>
      <c r="R159" s="1555"/>
      <c r="S159" s="1285"/>
      <c r="T159" s="1285"/>
      <c r="U159" s="1285"/>
      <c r="V159" s="1285"/>
      <c r="W159" s="1555"/>
      <c r="X159" s="1285"/>
      <c r="Y159" s="1285"/>
      <c r="Z159" s="481"/>
      <c r="AA159" s="1285"/>
      <c r="AB159" s="1285"/>
      <c r="AC159" s="1285"/>
      <c r="AD159" s="1285"/>
      <c r="AE159" s="1285"/>
      <c r="AF159" s="1551"/>
      <c r="AG159" s="559"/>
      <c r="AH159" s="559"/>
      <c r="AI159" s="559"/>
      <c r="AJ159" s="559"/>
      <c r="AK159" s="1560">
        <v>11</v>
      </c>
    </row>
    <row r="160" spans="1:37" s="2269" customFormat="1" ht="11.45" customHeight="1">
      <c r="A160" s="912"/>
      <c r="B160" s="912"/>
      <c r="C160" s="912"/>
      <c r="D160" s="912"/>
      <c r="E160" s="912"/>
      <c r="F160" s="1555"/>
      <c r="G160" s="1555"/>
      <c r="H160" s="288"/>
      <c r="N160" s="1285"/>
      <c r="P160" s="1285"/>
      <c r="Q160" s="1555"/>
      <c r="R160" s="1555"/>
      <c r="S160" s="1285"/>
      <c r="T160" s="1285"/>
      <c r="U160" s="1285"/>
      <c r="V160" s="1285"/>
      <c r="W160" s="1555"/>
      <c r="X160" s="1285"/>
      <c r="Y160" s="1285"/>
      <c r="Z160" s="481"/>
      <c r="AA160" s="1285"/>
      <c r="AB160" s="1285"/>
      <c r="AC160" s="1285"/>
      <c r="AD160" s="1285"/>
      <c r="AE160" s="1285"/>
      <c r="AF160" s="1551"/>
      <c r="AG160" s="559"/>
      <c r="AH160" s="559"/>
      <c r="AI160" s="559"/>
      <c r="AJ160" s="559"/>
      <c r="AK160" s="1560">
        <v>11</v>
      </c>
    </row>
    <row r="161" spans="1:37" s="2269" customFormat="1" ht="11.45" customHeight="1">
      <c r="A161" s="912"/>
      <c r="B161" s="912"/>
      <c r="C161" s="912"/>
      <c r="D161" s="912"/>
      <c r="E161" s="912"/>
      <c r="F161" s="1555"/>
      <c r="G161" s="1555"/>
      <c r="H161" s="288"/>
      <c r="N161" s="1285"/>
      <c r="P161" s="1285"/>
      <c r="Q161" s="1555"/>
      <c r="R161" s="1555"/>
      <c r="S161" s="1285"/>
      <c r="T161" s="1285"/>
      <c r="U161" s="1285"/>
      <c r="V161" s="1285"/>
      <c r="W161" s="1555"/>
      <c r="X161" s="1285"/>
      <c r="Y161" s="1285"/>
      <c r="Z161" s="481"/>
      <c r="AA161" s="1285"/>
      <c r="AB161" s="1285"/>
      <c r="AC161" s="1285"/>
      <c r="AD161" s="1285"/>
      <c r="AE161" s="1285"/>
      <c r="AF161" s="1551"/>
      <c r="AG161" s="559"/>
      <c r="AH161" s="559"/>
      <c r="AI161" s="559"/>
      <c r="AJ161" s="559"/>
      <c r="AK161" s="1560">
        <v>11</v>
      </c>
    </row>
    <row r="162" spans="1:37" s="2269" customFormat="1" ht="11.45" customHeight="1">
      <c r="A162" s="912"/>
      <c r="B162" s="912"/>
      <c r="C162" s="912"/>
      <c r="D162" s="912"/>
      <c r="E162" s="912"/>
      <c r="F162" s="1555"/>
      <c r="G162" s="1555"/>
      <c r="H162" s="288"/>
      <c r="N162" s="1285"/>
      <c r="P162" s="1285"/>
      <c r="Q162" s="1555"/>
      <c r="R162" s="1555"/>
      <c r="S162" s="1285"/>
      <c r="T162" s="1285"/>
      <c r="U162" s="1285"/>
      <c r="V162" s="1285"/>
      <c r="W162" s="1555"/>
      <c r="X162" s="1285"/>
      <c r="Y162" s="1285"/>
      <c r="Z162" s="481"/>
      <c r="AA162" s="1285"/>
      <c r="AB162" s="1285"/>
      <c r="AC162" s="1285"/>
      <c r="AD162" s="1285"/>
      <c r="AE162" s="1285"/>
      <c r="AF162" s="1551"/>
      <c r="AG162" s="559"/>
      <c r="AH162" s="559"/>
      <c r="AI162" s="559"/>
      <c r="AJ162" s="559"/>
      <c r="AK162" s="1560">
        <v>11</v>
      </c>
    </row>
    <row r="163" spans="1:37" s="2269" customFormat="1" ht="11.45" customHeight="1">
      <c r="A163" s="912"/>
      <c r="B163" s="912"/>
      <c r="C163" s="912"/>
      <c r="D163" s="912"/>
      <c r="E163" s="912"/>
      <c r="F163" s="1555"/>
      <c r="G163" s="1555"/>
      <c r="H163" s="288"/>
      <c r="N163" s="1285"/>
      <c r="P163" s="1285"/>
      <c r="Q163" s="1555"/>
      <c r="R163" s="1555"/>
      <c r="S163" s="1285"/>
      <c r="T163" s="1285"/>
      <c r="U163" s="1285"/>
      <c r="V163" s="1285"/>
      <c r="W163" s="1555"/>
      <c r="X163" s="1285"/>
      <c r="Y163" s="1285"/>
      <c r="Z163" s="481"/>
      <c r="AA163" s="1285"/>
      <c r="AB163" s="1285"/>
      <c r="AC163" s="1285"/>
      <c r="AD163" s="1285"/>
      <c r="AE163" s="1285"/>
      <c r="AF163" s="1551"/>
      <c r="AG163" s="559"/>
      <c r="AH163" s="559"/>
      <c r="AI163" s="559"/>
      <c r="AJ163" s="559"/>
      <c r="AK163" s="1560">
        <v>11</v>
      </c>
    </row>
    <row r="164" spans="1:37" s="2269" customFormat="1" ht="11.45" customHeight="1">
      <c r="A164" s="912"/>
      <c r="B164" s="912"/>
      <c r="C164" s="912"/>
      <c r="D164" s="912"/>
      <c r="E164" s="912"/>
      <c r="F164" s="1555"/>
      <c r="G164" s="1555"/>
      <c r="H164" s="288"/>
      <c r="N164" s="1285"/>
      <c r="P164" s="1285"/>
      <c r="Q164" s="1555"/>
      <c r="R164" s="1555"/>
      <c r="S164" s="1285"/>
      <c r="T164" s="1285"/>
      <c r="U164" s="1285"/>
      <c r="V164" s="1285"/>
      <c r="W164" s="1555"/>
      <c r="X164" s="1285"/>
      <c r="Y164" s="1285"/>
      <c r="Z164" s="481"/>
      <c r="AA164" s="1285"/>
      <c r="AB164" s="1285"/>
      <c r="AC164" s="1285"/>
      <c r="AD164" s="1285"/>
      <c r="AE164" s="1285"/>
      <c r="AF164" s="1551"/>
      <c r="AG164" s="559"/>
      <c r="AH164" s="559"/>
      <c r="AI164" s="559"/>
      <c r="AJ164" s="559"/>
      <c r="AK164" s="1560">
        <v>11</v>
      </c>
    </row>
    <row r="165" spans="1:37" s="2269" customFormat="1" ht="11.45" customHeight="1">
      <c r="A165" s="912"/>
      <c r="B165" s="912"/>
      <c r="C165" s="912"/>
      <c r="D165" s="912"/>
      <c r="E165" s="912"/>
      <c r="F165" s="1555"/>
      <c r="G165" s="1555"/>
      <c r="H165" s="288"/>
      <c r="N165" s="1285"/>
      <c r="P165" s="1285"/>
      <c r="Q165" s="1555"/>
      <c r="R165" s="1555"/>
      <c r="S165" s="1285"/>
      <c r="T165" s="1285"/>
      <c r="U165" s="1285"/>
      <c r="V165" s="1285"/>
      <c r="W165" s="1555"/>
      <c r="X165" s="1285"/>
      <c r="Y165" s="1285"/>
      <c r="Z165" s="481"/>
      <c r="AA165" s="1285"/>
      <c r="AB165" s="1285"/>
      <c r="AC165" s="1285"/>
      <c r="AD165" s="1285"/>
      <c r="AE165" s="1285"/>
      <c r="AF165" s="1551"/>
      <c r="AG165" s="559"/>
      <c r="AH165" s="559"/>
      <c r="AI165" s="559"/>
      <c r="AJ165" s="559"/>
      <c r="AK165" s="1560">
        <v>11</v>
      </c>
    </row>
    <row r="166" spans="1:37" s="2269" customFormat="1" ht="11.45" customHeight="1">
      <c r="A166" s="912"/>
      <c r="B166" s="912"/>
      <c r="C166" s="912"/>
      <c r="D166" s="912"/>
      <c r="E166" s="912"/>
      <c r="F166" s="1555"/>
      <c r="G166" s="1555"/>
      <c r="H166" s="288"/>
      <c r="N166" s="1285"/>
      <c r="P166" s="1285"/>
      <c r="Q166" s="1555"/>
      <c r="R166" s="1555"/>
      <c r="S166" s="1285"/>
      <c r="T166" s="1285"/>
      <c r="U166" s="1285"/>
      <c r="V166" s="1285"/>
      <c r="W166" s="1555"/>
      <c r="X166" s="1285"/>
      <c r="Y166" s="1285"/>
      <c r="Z166" s="481"/>
      <c r="AA166" s="1285"/>
      <c r="AB166" s="1285"/>
      <c r="AC166" s="1285"/>
      <c r="AD166" s="1285"/>
      <c r="AE166" s="1285"/>
      <c r="AF166" s="1551"/>
      <c r="AG166" s="559"/>
      <c r="AH166" s="559"/>
      <c r="AI166" s="559"/>
      <c r="AJ166" s="559"/>
      <c r="AK166" s="1560">
        <v>11</v>
      </c>
    </row>
    <row r="167" spans="1:37" s="2269" customFormat="1" ht="11.45" customHeight="1">
      <c r="A167" s="912"/>
      <c r="B167" s="912"/>
      <c r="C167" s="912"/>
      <c r="D167" s="912"/>
      <c r="E167" s="912"/>
      <c r="F167" s="1555"/>
      <c r="G167" s="1555"/>
      <c r="H167" s="288"/>
      <c r="N167" s="1285"/>
      <c r="P167" s="1285"/>
      <c r="Q167" s="1555"/>
      <c r="R167" s="1555"/>
      <c r="S167" s="1285"/>
      <c r="T167" s="1285"/>
      <c r="U167" s="1285"/>
      <c r="V167" s="1285"/>
      <c r="W167" s="1555"/>
      <c r="X167" s="1285"/>
      <c r="Y167" s="1285"/>
      <c r="Z167" s="481"/>
      <c r="AA167" s="1285"/>
      <c r="AB167" s="1285"/>
      <c r="AC167" s="1285"/>
      <c r="AD167" s="1285"/>
      <c r="AE167" s="1285"/>
      <c r="AF167" s="1551"/>
      <c r="AG167" s="559"/>
      <c r="AH167" s="559"/>
      <c r="AI167" s="559"/>
      <c r="AJ167" s="559"/>
      <c r="AK167" s="1560">
        <v>11</v>
      </c>
    </row>
    <row r="168" spans="1:37" s="2269" customFormat="1" ht="11.45" customHeight="1">
      <c r="A168" s="912"/>
      <c r="B168" s="912"/>
      <c r="C168" s="912"/>
      <c r="D168" s="912"/>
      <c r="E168" s="912"/>
      <c r="F168" s="1555"/>
      <c r="G168" s="1555"/>
      <c r="H168" s="288"/>
      <c r="N168" s="1285"/>
      <c r="P168" s="1285"/>
      <c r="Q168" s="1555"/>
      <c r="R168" s="1555"/>
      <c r="S168" s="1285"/>
      <c r="T168" s="1285"/>
      <c r="U168" s="1285"/>
      <c r="V168" s="1285"/>
      <c r="W168" s="1555"/>
      <c r="X168" s="1285"/>
      <c r="Y168" s="1285"/>
      <c r="Z168" s="481"/>
      <c r="AA168" s="1285"/>
      <c r="AB168" s="1285"/>
      <c r="AC168" s="1285"/>
      <c r="AD168" s="1285"/>
      <c r="AE168" s="1285"/>
      <c r="AF168" s="1551"/>
      <c r="AG168" s="559"/>
      <c r="AH168" s="559"/>
      <c r="AI168" s="559"/>
      <c r="AJ168" s="559"/>
      <c r="AK168" s="1560">
        <v>11</v>
      </c>
    </row>
    <row r="169" spans="1:37" s="2269" customFormat="1" ht="11.45" customHeight="1">
      <c r="A169" s="912"/>
      <c r="B169" s="912"/>
      <c r="C169" s="912"/>
      <c r="D169" s="912"/>
      <c r="E169" s="912"/>
      <c r="F169" s="1555"/>
      <c r="G169" s="1555"/>
      <c r="H169" s="288"/>
      <c r="N169" s="1285"/>
      <c r="P169" s="1285"/>
      <c r="Q169" s="1555"/>
      <c r="R169" s="1555"/>
      <c r="S169" s="1285"/>
      <c r="T169" s="1285"/>
      <c r="U169" s="1285"/>
      <c r="V169" s="1285"/>
      <c r="W169" s="1555"/>
      <c r="X169" s="1285"/>
      <c r="Y169" s="1285"/>
      <c r="Z169" s="481"/>
      <c r="AA169" s="1285"/>
      <c r="AB169" s="1285"/>
      <c r="AC169" s="1285"/>
      <c r="AD169" s="1285"/>
      <c r="AE169" s="1285"/>
      <c r="AF169" s="1551"/>
      <c r="AG169" s="559"/>
      <c r="AH169" s="559"/>
      <c r="AI169" s="559"/>
      <c r="AJ169" s="559"/>
      <c r="AK169" s="1560">
        <v>11</v>
      </c>
    </row>
    <row r="170" spans="1:37" s="2269" customFormat="1" ht="11.45" customHeight="1">
      <c r="A170" s="912"/>
      <c r="B170" s="912"/>
      <c r="C170" s="912"/>
      <c r="D170" s="912"/>
      <c r="E170" s="912"/>
      <c r="F170" s="1555"/>
      <c r="G170" s="1555"/>
      <c r="H170" s="288"/>
      <c r="N170" s="1285"/>
      <c r="P170" s="1285"/>
      <c r="Q170" s="1555"/>
      <c r="R170" s="1555"/>
      <c r="S170" s="1285"/>
      <c r="T170" s="1285"/>
      <c r="U170" s="1285"/>
      <c r="V170" s="1285"/>
      <c r="W170" s="1555"/>
      <c r="X170" s="1285"/>
      <c r="Y170" s="1285"/>
      <c r="Z170" s="481"/>
      <c r="AA170" s="1285"/>
      <c r="AB170" s="1285"/>
      <c r="AC170" s="1285"/>
      <c r="AD170" s="1285"/>
      <c r="AE170" s="1285"/>
      <c r="AF170" s="1551"/>
      <c r="AG170" s="559"/>
      <c r="AH170" s="559"/>
      <c r="AI170" s="559"/>
      <c r="AJ170" s="559"/>
      <c r="AK170" s="1560">
        <v>11</v>
      </c>
    </row>
    <row r="171" spans="1:37" s="2269" customFormat="1" ht="11.45" customHeight="1">
      <c r="A171" s="912"/>
      <c r="B171" s="912"/>
      <c r="C171" s="912"/>
      <c r="D171" s="912"/>
      <c r="E171" s="912"/>
      <c r="F171" s="1555"/>
      <c r="G171" s="1555"/>
      <c r="H171" s="288"/>
      <c r="N171" s="1285"/>
      <c r="P171" s="1285"/>
      <c r="Q171" s="1555"/>
      <c r="R171" s="1555"/>
      <c r="S171" s="1285"/>
      <c r="T171" s="1285"/>
      <c r="U171" s="1285"/>
      <c r="V171" s="1285"/>
      <c r="W171" s="1555"/>
      <c r="X171" s="1285"/>
      <c r="Y171" s="1285"/>
      <c r="Z171" s="481"/>
      <c r="AA171" s="1285"/>
      <c r="AB171" s="1285"/>
      <c r="AC171" s="1285"/>
      <c r="AD171" s="1285"/>
      <c r="AE171" s="1285"/>
      <c r="AF171" s="1551"/>
      <c r="AG171" s="559"/>
      <c r="AH171" s="559"/>
      <c r="AI171" s="559"/>
      <c r="AJ171" s="559"/>
      <c r="AK171" s="1560">
        <v>11</v>
      </c>
    </row>
    <row r="172" spans="1:37" s="2269" customFormat="1" ht="11.45" customHeight="1">
      <c r="A172" s="912"/>
      <c r="B172" s="912"/>
      <c r="C172" s="912"/>
      <c r="D172" s="912"/>
      <c r="E172" s="912"/>
      <c r="F172" s="1555"/>
      <c r="G172" s="1555"/>
      <c r="H172" s="288"/>
      <c r="N172" s="1285"/>
      <c r="P172" s="1285"/>
      <c r="Q172" s="1555"/>
      <c r="R172" s="1555"/>
      <c r="S172" s="1285"/>
      <c r="T172" s="1285"/>
      <c r="U172" s="1285"/>
      <c r="V172" s="1285"/>
      <c r="W172" s="1555"/>
      <c r="X172" s="1285"/>
      <c r="Y172" s="1285"/>
      <c r="Z172" s="481"/>
      <c r="AA172" s="1285"/>
      <c r="AB172" s="1285"/>
      <c r="AC172" s="1285"/>
      <c r="AD172" s="1285"/>
      <c r="AE172" s="1285"/>
      <c r="AF172" s="1551"/>
      <c r="AG172" s="559"/>
      <c r="AH172" s="559"/>
      <c r="AI172" s="559"/>
      <c r="AJ172" s="559"/>
      <c r="AK172" s="1560">
        <v>11</v>
      </c>
    </row>
    <row r="173" spans="1:37" s="2269" customFormat="1" ht="11.45" customHeight="1">
      <c r="A173" s="912"/>
      <c r="B173" s="912"/>
      <c r="C173" s="912"/>
      <c r="D173" s="912"/>
      <c r="E173" s="912"/>
      <c r="F173" s="1555"/>
      <c r="G173" s="1555"/>
      <c r="H173" s="288"/>
      <c r="N173" s="1285"/>
      <c r="P173" s="1285"/>
      <c r="Q173" s="1555"/>
      <c r="R173" s="1555"/>
      <c r="S173" s="1285"/>
      <c r="T173" s="1285"/>
      <c r="U173" s="1285"/>
      <c r="V173" s="1285"/>
      <c r="W173" s="1555"/>
      <c r="X173" s="1285"/>
      <c r="Y173" s="1285"/>
      <c r="Z173" s="481"/>
      <c r="AA173" s="1285"/>
      <c r="AB173" s="1285"/>
      <c r="AC173" s="1285"/>
      <c r="AD173" s="1285"/>
      <c r="AE173" s="1285"/>
      <c r="AF173" s="1551"/>
      <c r="AG173" s="559"/>
      <c r="AH173" s="559"/>
      <c r="AI173" s="559"/>
      <c r="AJ173" s="559"/>
      <c r="AK173" s="1560">
        <v>11</v>
      </c>
    </row>
    <row r="174" spans="1:37" s="2269" customFormat="1" ht="11.45" customHeight="1">
      <c r="A174" s="912"/>
      <c r="B174" s="912"/>
      <c r="C174" s="912"/>
      <c r="D174" s="912"/>
      <c r="E174" s="912"/>
      <c r="F174" s="1555"/>
      <c r="G174" s="1555"/>
      <c r="H174" s="288"/>
      <c r="N174" s="1285"/>
      <c r="P174" s="1285"/>
      <c r="Q174" s="1555"/>
      <c r="R174" s="1555"/>
      <c r="S174" s="1285"/>
      <c r="T174" s="1285"/>
      <c r="U174" s="1285"/>
      <c r="V174" s="1285"/>
      <c r="W174" s="1555"/>
      <c r="X174" s="1285"/>
      <c r="Y174" s="1285"/>
      <c r="Z174" s="481"/>
      <c r="AA174" s="1285"/>
      <c r="AB174" s="1285"/>
      <c r="AC174" s="1285"/>
      <c r="AD174" s="1285"/>
      <c r="AE174" s="1285"/>
      <c r="AF174" s="1551"/>
      <c r="AG174" s="559"/>
      <c r="AH174" s="559"/>
      <c r="AI174" s="559"/>
      <c r="AJ174" s="559"/>
      <c r="AK174" s="1560">
        <v>11</v>
      </c>
    </row>
    <row r="175" spans="1:37" s="2269" customFormat="1" ht="11.45" customHeight="1">
      <c r="A175" s="912"/>
      <c r="B175" s="912"/>
      <c r="C175" s="912"/>
      <c r="D175" s="912"/>
      <c r="E175" s="912"/>
      <c r="F175" s="1555"/>
      <c r="G175" s="1555"/>
      <c r="H175" s="288"/>
      <c r="N175" s="1285"/>
      <c r="P175" s="1285"/>
      <c r="Q175" s="1555"/>
      <c r="R175" s="1555"/>
      <c r="S175" s="1285"/>
      <c r="T175" s="1285"/>
      <c r="U175" s="1285"/>
      <c r="V175" s="1285"/>
      <c r="W175" s="1555"/>
      <c r="X175" s="1285"/>
      <c r="Y175" s="1285"/>
      <c r="Z175" s="481"/>
      <c r="AA175" s="1285"/>
      <c r="AB175" s="1285"/>
      <c r="AC175" s="1285"/>
      <c r="AD175" s="1285"/>
      <c r="AE175" s="1285"/>
      <c r="AF175" s="1551"/>
      <c r="AG175" s="559"/>
      <c r="AH175" s="559"/>
      <c r="AI175" s="559"/>
      <c r="AJ175" s="559"/>
      <c r="AK175" s="1560">
        <v>11</v>
      </c>
    </row>
    <row r="176" spans="1:37" s="2269" customFormat="1" ht="11.45" customHeight="1">
      <c r="A176" s="912"/>
      <c r="B176" s="912"/>
      <c r="C176" s="912"/>
      <c r="D176" s="912"/>
      <c r="E176" s="912"/>
      <c r="F176" s="1555"/>
      <c r="G176" s="1555"/>
      <c r="H176" s="288"/>
      <c r="N176" s="1285"/>
      <c r="P176" s="1285"/>
      <c r="Q176" s="1555"/>
      <c r="R176" s="1555"/>
      <c r="S176" s="1285"/>
      <c r="T176" s="1285"/>
      <c r="U176" s="1285"/>
      <c r="V176" s="1285"/>
      <c r="W176" s="1555"/>
      <c r="X176" s="1285"/>
      <c r="Y176" s="1285"/>
      <c r="Z176" s="481"/>
      <c r="AA176" s="1285"/>
      <c r="AB176" s="1285"/>
      <c r="AC176" s="1285"/>
      <c r="AD176" s="1285"/>
      <c r="AE176" s="1285"/>
      <c r="AF176" s="1551"/>
      <c r="AG176" s="559"/>
      <c r="AH176" s="559"/>
      <c r="AI176" s="559"/>
      <c r="AJ176" s="559"/>
      <c r="AK176" s="1560">
        <v>11</v>
      </c>
    </row>
    <row r="177" spans="1:37" s="2269" customFormat="1" ht="11.45" customHeight="1">
      <c r="A177" s="912"/>
      <c r="B177" s="912"/>
      <c r="C177" s="912"/>
      <c r="D177" s="912"/>
      <c r="E177" s="912"/>
      <c r="F177" s="1555"/>
      <c r="G177" s="1555"/>
      <c r="H177" s="288"/>
      <c r="N177" s="1285"/>
      <c r="P177" s="1285"/>
      <c r="Q177" s="1555"/>
      <c r="R177" s="1555"/>
      <c r="S177" s="1285"/>
      <c r="T177" s="1285"/>
      <c r="U177" s="1285"/>
      <c r="V177" s="1285"/>
      <c r="W177" s="1555"/>
      <c r="X177" s="1285"/>
      <c r="Y177" s="1285"/>
      <c r="Z177" s="481"/>
      <c r="AA177" s="1285"/>
      <c r="AB177" s="1285"/>
      <c r="AC177" s="1285"/>
      <c r="AD177" s="1285"/>
      <c r="AE177" s="1285"/>
      <c r="AF177" s="1551"/>
      <c r="AG177" s="559"/>
      <c r="AH177" s="559"/>
      <c r="AI177" s="559"/>
      <c r="AJ177" s="559"/>
      <c r="AK177" s="1560">
        <v>11</v>
      </c>
    </row>
    <row r="178" spans="1:37" s="2269" customFormat="1" ht="11.45" customHeight="1">
      <c r="A178" s="912"/>
      <c r="B178" s="912"/>
      <c r="C178" s="912"/>
      <c r="D178" s="912"/>
      <c r="E178" s="912"/>
      <c r="F178" s="1555"/>
      <c r="G178" s="1555"/>
      <c r="H178" s="288"/>
      <c r="N178" s="1285"/>
      <c r="P178" s="1285"/>
      <c r="Q178" s="1555"/>
      <c r="R178" s="1555"/>
      <c r="S178" s="1285"/>
      <c r="T178" s="1285"/>
      <c r="U178" s="1285"/>
      <c r="V178" s="1285"/>
      <c r="W178" s="1555"/>
      <c r="X178" s="1285"/>
      <c r="Y178" s="1285"/>
      <c r="Z178" s="481"/>
      <c r="AA178" s="1285"/>
      <c r="AB178" s="1285"/>
      <c r="AC178" s="1285"/>
      <c r="AD178" s="1285"/>
      <c r="AE178" s="1285"/>
      <c r="AF178" s="1551"/>
      <c r="AG178" s="559"/>
      <c r="AH178" s="559"/>
      <c r="AI178" s="559"/>
      <c r="AJ178" s="559"/>
      <c r="AK178" s="1560">
        <v>11</v>
      </c>
    </row>
    <row r="179" spans="1:37" s="2269" customFormat="1" ht="11.45" customHeight="1">
      <c r="A179" s="912"/>
      <c r="B179" s="912"/>
      <c r="C179" s="912"/>
      <c r="D179" s="912"/>
      <c r="E179" s="912"/>
      <c r="F179" s="1555"/>
      <c r="G179" s="1555"/>
      <c r="H179" s="288"/>
      <c r="N179" s="1285"/>
      <c r="P179" s="1285"/>
      <c r="Q179" s="1555"/>
      <c r="R179" s="1555"/>
      <c r="S179" s="1285"/>
      <c r="T179" s="1285"/>
      <c r="U179" s="1285"/>
      <c r="V179" s="1285"/>
      <c r="W179" s="1555"/>
      <c r="X179" s="1285"/>
      <c r="Y179" s="1285"/>
      <c r="Z179" s="481"/>
      <c r="AA179" s="1285"/>
      <c r="AB179" s="1285"/>
      <c r="AC179" s="1285"/>
      <c r="AD179" s="1285"/>
      <c r="AE179" s="1285"/>
      <c r="AF179" s="1551"/>
      <c r="AG179" s="559"/>
      <c r="AH179" s="559"/>
      <c r="AI179" s="559"/>
      <c r="AJ179" s="559"/>
      <c r="AK179" s="1560">
        <v>11</v>
      </c>
    </row>
    <row r="180" spans="1:37" s="2269" customFormat="1" ht="11.45" customHeight="1">
      <c r="A180" s="912"/>
      <c r="B180" s="912"/>
      <c r="C180" s="912"/>
      <c r="D180" s="912"/>
      <c r="E180" s="912"/>
      <c r="F180" s="1555"/>
      <c r="G180" s="1555"/>
      <c r="H180" s="288"/>
      <c r="N180" s="1285"/>
      <c r="P180" s="1285"/>
      <c r="Q180" s="1555"/>
      <c r="R180" s="1555"/>
      <c r="S180" s="1285"/>
      <c r="T180" s="1285"/>
      <c r="U180" s="1285"/>
      <c r="V180" s="1285"/>
      <c r="W180" s="1555"/>
      <c r="X180" s="1285"/>
      <c r="Y180" s="1285"/>
      <c r="Z180" s="481"/>
      <c r="AA180" s="1285"/>
      <c r="AB180" s="1285"/>
      <c r="AC180" s="1285"/>
      <c r="AD180" s="1285"/>
      <c r="AE180" s="1285"/>
      <c r="AF180" s="1551"/>
      <c r="AG180" s="559"/>
      <c r="AH180" s="559"/>
      <c r="AI180" s="559"/>
      <c r="AJ180" s="559"/>
      <c r="AK180" s="1560">
        <v>11</v>
      </c>
    </row>
    <row r="181" spans="1:37" s="2269" customFormat="1" ht="11.45" customHeight="1">
      <c r="A181" s="912"/>
      <c r="B181" s="912"/>
      <c r="C181" s="912"/>
      <c r="D181" s="912"/>
      <c r="E181" s="912"/>
      <c r="F181" s="1555"/>
      <c r="G181" s="1555"/>
      <c r="H181" s="288"/>
      <c r="N181" s="1285"/>
      <c r="P181" s="1285"/>
      <c r="Q181" s="1555"/>
      <c r="R181" s="1555"/>
      <c r="S181" s="1285"/>
      <c r="T181" s="1285"/>
      <c r="U181" s="1285"/>
      <c r="V181" s="1285"/>
      <c r="W181" s="1555"/>
      <c r="X181" s="1285"/>
      <c r="Y181" s="1285"/>
      <c r="Z181" s="481"/>
      <c r="AA181" s="1285"/>
      <c r="AB181" s="1285"/>
      <c r="AC181" s="1285"/>
      <c r="AD181" s="1285"/>
      <c r="AE181" s="1285"/>
      <c r="AF181" s="1551"/>
      <c r="AG181" s="559"/>
      <c r="AH181" s="559"/>
      <c r="AI181" s="559"/>
      <c r="AJ181" s="559"/>
      <c r="AK181" s="1560">
        <v>11</v>
      </c>
    </row>
    <row r="182" spans="1:37" s="2269" customFormat="1" ht="11.45" customHeight="1">
      <c r="A182" s="912"/>
      <c r="B182" s="912"/>
      <c r="C182" s="912"/>
      <c r="D182" s="912"/>
      <c r="E182" s="912"/>
      <c r="F182" s="1555"/>
      <c r="G182" s="1555"/>
      <c r="H182" s="288"/>
      <c r="N182" s="1285"/>
      <c r="P182" s="1285"/>
      <c r="Q182" s="1555"/>
      <c r="R182" s="1555"/>
      <c r="S182" s="1285"/>
      <c r="T182" s="1285"/>
      <c r="U182" s="1285"/>
      <c r="V182" s="1285"/>
      <c r="W182" s="1555"/>
      <c r="X182" s="1285"/>
      <c r="Y182" s="1285"/>
      <c r="Z182" s="481"/>
      <c r="AA182" s="1285"/>
      <c r="AB182" s="1285"/>
      <c r="AC182" s="1285"/>
      <c r="AD182" s="1285"/>
      <c r="AE182" s="1285"/>
      <c r="AF182" s="1551"/>
      <c r="AG182" s="559"/>
      <c r="AH182" s="559"/>
      <c r="AI182" s="559"/>
      <c r="AJ182" s="559"/>
      <c r="AK182" s="1560">
        <v>11</v>
      </c>
    </row>
    <row r="183" spans="1:37" s="2269" customFormat="1" ht="11.45" customHeight="1">
      <c r="A183" s="912"/>
      <c r="B183" s="912"/>
      <c r="C183" s="912"/>
      <c r="D183" s="912"/>
      <c r="E183" s="912"/>
      <c r="F183" s="1555"/>
      <c r="G183" s="1555"/>
      <c r="H183" s="288"/>
      <c r="N183" s="1285"/>
      <c r="P183" s="1285"/>
      <c r="Q183" s="1555"/>
      <c r="R183" s="1555"/>
      <c r="S183" s="1285"/>
      <c r="T183" s="1285"/>
      <c r="U183" s="1285"/>
      <c r="V183" s="1285"/>
      <c r="W183" s="1555"/>
      <c r="X183" s="1285"/>
      <c r="Y183" s="1285"/>
      <c r="Z183" s="481"/>
      <c r="AA183" s="1285"/>
      <c r="AB183" s="1285"/>
      <c r="AC183" s="1285"/>
      <c r="AD183" s="1285"/>
      <c r="AE183" s="1285"/>
      <c r="AF183" s="1551"/>
      <c r="AG183" s="559"/>
      <c r="AH183" s="559"/>
      <c r="AI183" s="559"/>
      <c r="AJ183" s="559"/>
      <c r="AK183" s="1560">
        <v>11</v>
      </c>
    </row>
    <row r="184" spans="1:37" s="2269" customFormat="1" ht="11.45" customHeight="1">
      <c r="A184" s="912"/>
      <c r="B184" s="912"/>
      <c r="C184" s="912"/>
      <c r="D184" s="912"/>
      <c r="E184" s="912"/>
      <c r="F184" s="1555"/>
      <c r="G184" s="1555"/>
      <c r="H184" s="288"/>
      <c r="N184" s="1285"/>
      <c r="P184" s="1285"/>
      <c r="Q184" s="1555"/>
      <c r="R184" s="1555"/>
      <c r="S184" s="1285"/>
      <c r="T184" s="1285"/>
      <c r="U184" s="1285"/>
      <c r="V184" s="1285"/>
      <c r="W184" s="1555"/>
      <c r="X184" s="1285"/>
      <c r="Y184" s="1285"/>
      <c r="Z184" s="481"/>
      <c r="AA184" s="1285"/>
      <c r="AB184" s="1285"/>
      <c r="AC184" s="1285"/>
      <c r="AD184" s="1285"/>
      <c r="AE184" s="1285"/>
      <c r="AF184" s="1551"/>
      <c r="AG184" s="559"/>
      <c r="AH184" s="559"/>
      <c r="AI184" s="559"/>
      <c r="AJ184" s="559"/>
      <c r="AK184" s="1560">
        <v>11</v>
      </c>
    </row>
    <row r="185" spans="1:37" s="2269" customFormat="1" ht="11.45" customHeight="1">
      <c r="A185" s="912"/>
      <c r="B185" s="912"/>
      <c r="C185" s="912"/>
      <c r="D185" s="912"/>
      <c r="E185" s="912"/>
      <c r="F185" s="1555"/>
      <c r="G185" s="1555"/>
      <c r="H185" s="288"/>
      <c r="N185" s="1285"/>
      <c r="P185" s="1285"/>
      <c r="Q185" s="1555"/>
      <c r="R185" s="1555"/>
      <c r="S185" s="1285"/>
      <c r="T185" s="1285"/>
      <c r="U185" s="1285"/>
      <c r="V185" s="1285"/>
      <c r="W185" s="1555"/>
      <c r="X185" s="1285"/>
      <c r="Y185" s="1285"/>
      <c r="Z185" s="481"/>
      <c r="AA185" s="1285"/>
      <c r="AB185" s="1285"/>
      <c r="AC185" s="1285"/>
      <c r="AD185" s="1285"/>
      <c r="AE185" s="1285"/>
      <c r="AF185" s="1551"/>
      <c r="AG185" s="559"/>
      <c r="AH185" s="559"/>
      <c r="AI185" s="559"/>
      <c r="AJ185" s="559"/>
      <c r="AK185" s="1560">
        <v>11</v>
      </c>
    </row>
    <row r="186" spans="1:37" s="2269" customFormat="1" ht="11.45" customHeight="1">
      <c r="A186" s="912"/>
      <c r="B186" s="912"/>
      <c r="C186" s="912"/>
      <c r="D186" s="912"/>
      <c r="E186" s="912"/>
      <c r="F186" s="1555"/>
      <c r="G186" s="1555"/>
      <c r="H186" s="288"/>
      <c r="N186" s="1285"/>
      <c r="P186" s="1285"/>
      <c r="Q186" s="1555"/>
      <c r="R186" s="1555"/>
      <c r="S186" s="1285"/>
      <c r="T186" s="1285"/>
      <c r="U186" s="1285"/>
      <c r="V186" s="1285"/>
      <c r="W186" s="1555"/>
      <c r="X186" s="1285"/>
      <c r="Y186" s="1285"/>
      <c r="Z186" s="481"/>
      <c r="AA186" s="1285"/>
      <c r="AB186" s="1285"/>
      <c r="AC186" s="1285"/>
      <c r="AD186" s="1285"/>
      <c r="AE186" s="1285"/>
      <c r="AF186" s="1551"/>
      <c r="AG186" s="559"/>
      <c r="AH186" s="559"/>
      <c r="AI186" s="559"/>
      <c r="AJ186" s="559"/>
      <c r="AK186" s="1560">
        <v>11</v>
      </c>
    </row>
    <row r="187" spans="1:37" s="2269" customFormat="1" ht="11.45" customHeight="1">
      <c r="A187" s="912"/>
      <c r="B187" s="912"/>
      <c r="C187" s="912"/>
      <c r="D187" s="912"/>
      <c r="E187" s="912"/>
      <c r="F187" s="1555"/>
      <c r="G187" s="1555"/>
      <c r="H187" s="288"/>
      <c r="N187" s="1285"/>
      <c r="P187" s="1285"/>
      <c r="Q187" s="1555"/>
      <c r="R187" s="1555"/>
      <c r="S187" s="1285"/>
      <c r="T187" s="1285"/>
      <c r="U187" s="1285"/>
      <c r="V187" s="1285"/>
      <c r="W187" s="1555"/>
      <c r="X187" s="1285"/>
      <c r="Y187" s="1285"/>
      <c r="Z187" s="481"/>
      <c r="AA187" s="1285"/>
      <c r="AB187" s="1285"/>
      <c r="AC187" s="1285"/>
      <c r="AD187" s="1285"/>
      <c r="AE187" s="1285"/>
      <c r="AF187" s="1551"/>
      <c r="AG187" s="559"/>
      <c r="AH187" s="559"/>
      <c r="AI187" s="559"/>
      <c r="AJ187" s="559"/>
      <c r="AK187" s="1560">
        <v>11</v>
      </c>
    </row>
    <row r="188" spans="1:37" s="2269" customFormat="1" ht="11.45" customHeight="1">
      <c r="A188" s="912"/>
      <c r="B188" s="912"/>
      <c r="C188" s="912"/>
      <c r="D188" s="912"/>
      <c r="E188" s="912"/>
      <c r="F188" s="1555"/>
      <c r="G188" s="1555"/>
      <c r="H188" s="288"/>
      <c r="N188" s="1285"/>
      <c r="P188" s="1285"/>
      <c r="Q188" s="1555"/>
      <c r="R188" s="1555"/>
      <c r="S188" s="1285"/>
      <c r="T188" s="1285"/>
      <c r="U188" s="1285"/>
      <c r="V188" s="1285"/>
      <c r="W188" s="1555"/>
      <c r="X188" s="1285"/>
      <c r="Y188" s="1285"/>
      <c r="Z188" s="481"/>
      <c r="AA188" s="1285"/>
      <c r="AB188" s="1285"/>
      <c r="AC188" s="1285"/>
      <c r="AD188" s="1285"/>
      <c r="AE188" s="1285"/>
      <c r="AF188" s="1551"/>
      <c r="AG188" s="559"/>
      <c r="AH188" s="559"/>
      <c r="AI188" s="559"/>
      <c r="AJ188" s="559"/>
      <c r="AK188" s="1560">
        <v>11</v>
      </c>
    </row>
    <row r="189" spans="1:37" s="2269" customFormat="1" ht="11.45" customHeight="1">
      <c r="A189" s="912"/>
      <c r="B189" s="912"/>
      <c r="C189" s="912"/>
      <c r="D189" s="912"/>
      <c r="E189" s="912"/>
      <c r="F189" s="1555"/>
      <c r="G189" s="1555"/>
      <c r="H189" s="288"/>
      <c r="N189" s="1285"/>
      <c r="P189" s="1285"/>
      <c r="Q189" s="1555"/>
      <c r="R189" s="1555"/>
      <c r="S189" s="1285"/>
      <c r="T189" s="1285"/>
      <c r="U189" s="1285"/>
      <c r="V189" s="1285"/>
      <c r="W189" s="1555"/>
      <c r="X189" s="1285"/>
      <c r="Y189" s="1285"/>
      <c r="Z189" s="481"/>
      <c r="AA189" s="1285"/>
      <c r="AB189" s="1285"/>
      <c r="AC189" s="1285"/>
      <c r="AD189" s="1285"/>
      <c r="AE189" s="1285"/>
      <c r="AF189" s="1551"/>
      <c r="AG189" s="559"/>
      <c r="AH189" s="559"/>
      <c r="AI189" s="559"/>
      <c r="AJ189" s="559"/>
      <c r="AK189" s="1560">
        <v>11</v>
      </c>
    </row>
    <row r="190" spans="1:37" ht="11.45" customHeight="1">
      <c r="AK190" s="1550">
        <v>11</v>
      </c>
    </row>
    <row r="191" spans="1:37" ht="11.45" customHeight="1">
      <c r="AK191" s="1550">
        <v>11</v>
      </c>
    </row>
    <row r="192" spans="1:37" ht="11.45" customHeight="1">
      <c r="AK192" s="1550">
        <v>11</v>
      </c>
    </row>
    <row r="193" spans="1:37" ht="11.45" customHeight="1">
      <c r="A193" s="915"/>
      <c r="B193" s="915"/>
      <c r="C193" s="915"/>
      <c r="D193" s="915"/>
      <c r="E193" s="915"/>
      <c r="F193" s="1550"/>
      <c r="H193" s="1550"/>
      <c r="N193" s="1550"/>
      <c r="P193" s="1550"/>
      <c r="S193" s="1550"/>
      <c r="T193" s="1550"/>
      <c r="U193" s="1550"/>
      <c r="V193" s="1550"/>
      <c r="X193" s="1550"/>
      <c r="Y193" s="1550"/>
      <c r="Z193" s="1550"/>
      <c r="AA193" s="1550"/>
      <c r="AB193" s="1550"/>
      <c r="AC193" s="1550"/>
      <c r="AD193" s="1550"/>
      <c r="AE193" s="1550"/>
      <c r="AF193" s="1550"/>
      <c r="AG193" s="1550"/>
      <c r="AH193" s="1550"/>
      <c r="AI193" s="1550"/>
      <c r="AJ193" s="1550"/>
      <c r="AK193" s="1550">
        <v>11</v>
      </c>
    </row>
    <row r="194" spans="1:37" ht="11.45" customHeight="1">
      <c r="A194" s="915"/>
      <c r="B194" s="915"/>
      <c r="C194" s="915"/>
      <c r="D194" s="915"/>
      <c r="E194" s="915"/>
      <c r="F194" s="1550"/>
      <c r="H194" s="1550"/>
      <c r="N194" s="1550"/>
      <c r="P194" s="1550"/>
      <c r="S194" s="1550"/>
      <c r="T194" s="1550"/>
      <c r="U194" s="1550"/>
      <c r="V194" s="1550"/>
      <c r="X194" s="1550"/>
      <c r="Y194" s="1550"/>
      <c r="Z194" s="1550"/>
      <c r="AA194" s="1550"/>
      <c r="AB194" s="1550"/>
      <c r="AC194" s="1550"/>
      <c r="AD194" s="1550"/>
      <c r="AE194" s="1550"/>
      <c r="AF194" s="1550"/>
      <c r="AG194" s="1550"/>
      <c r="AH194" s="1550"/>
      <c r="AI194" s="1550"/>
      <c r="AJ194" s="1550"/>
      <c r="AK194" s="1550">
        <v>11</v>
      </c>
    </row>
    <row r="195" spans="1:37" ht="11.45" customHeight="1">
      <c r="A195" s="915"/>
      <c r="B195" s="915"/>
      <c r="C195" s="915"/>
      <c r="D195" s="915"/>
      <c r="E195" s="915"/>
      <c r="F195" s="1550"/>
      <c r="H195" s="1550"/>
      <c r="N195" s="1550"/>
      <c r="P195" s="1550"/>
      <c r="S195" s="1550"/>
      <c r="T195" s="1550"/>
      <c r="U195" s="1550"/>
      <c r="V195" s="1550"/>
      <c r="X195" s="1550"/>
      <c r="Y195" s="1550"/>
      <c r="Z195" s="1550"/>
      <c r="AA195" s="1550"/>
      <c r="AB195" s="1550"/>
      <c r="AC195" s="1550"/>
      <c r="AD195" s="1550"/>
      <c r="AE195" s="1550"/>
      <c r="AF195" s="1550"/>
      <c r="AG195" s="1550"/>
      <c r="AH195" s="1550"/>
      <c r="AI195" s="1550"/>
      <c r="AJ195" s="1550"/>
      <c r="AK195" s="1550">
        <v>11</v>
      </c>
    </row>
    <row r="196" spans="1:37" ht="11.45" customHeight="1">
      <c r="A196" s="915"/>
      <c r="B196" s="915"/>
      <c r="C196" s="915"/>
      <c r="D196" s="915"/>
      <c r="E196" s="915"/>
      <c r="F196" s="1550"/>
      <c r="H196" s="1550"/>
      <c r="N196" s="1550"/>
      <c r="P196" s="1550"/>
      <c r="S196" s="1550"/>
      <c r="T196" s="1550"/>
      <c r="U196" s="1550"/>
      <c r="V196" s="1550"/>
      <c r="X196" s="1550"/>
      <c r="Y196" s="1550"/>
      <c r="Z196" s="1550"/>
      <c r="AA196" s="1550"/>
      <c r="AB196" s="1550"/>
      <c r="AC196" s="1550"/>
      <c r="AD196" s="1550"/>
      <c r="AE196" s="1550"/>
      <c r="AF196" s="1550"/>
      <c r="AG196" s="1550"/>
      <c r="AH196" s="1550"/>
      <c r="AI196" s="1550"/>
      <c r="AJ196" s="1550"/>
      <c r="AK196" s="1550">
        <v>11</v>
      </c>
    </row>
    <row r="197" spans="1:37" ht="11.45" customHeight="1">
      <c r="A197" s="915"/>
      <c r="B197" s="915"/>
      <c r="C197" s="915"/>
      <c r="D197" s="915"/>
      <c r="E197" s="915"/>
      <c r="F197" s="1550"/>
      <c r="H197" s="1550"/>
      <c r="N197" s="1550"/>
      <c r="P197" s="1550"/>
      <c r="S197" s="1550"/>
      <c r="T197" s="1550"/>
      <c r="U197" s="1550"/>
      <c r="V197" s="1550"/>
      <c r="X197" s="1550"/>
      <c r="Y197" s="1550"/>
      <c r="Z197" s="1550"/>
      <c r="AA197" s="1550"/>
      <c r="AB197" s="1550"/>
      <c r="AC197" s="1550"/>
      <c r="AD197" s="1550"/>
      <c r="AE197" s="1550"/>
      <c r="AF197" s="1550"/>
      <c r="AG197" s="1550"/>
      <c r="AH197" s="1550"/>
      <c r="AI197" s="1550"/>
      <c r="AJ197" s="1550"/>
      <c r="AK197" s="1550">
        <v>11</v>
      </c>
    </row>
    <row r="198" spans="1:37" ht="11.45" customHeight="1">
      <c r="A198" s="915"/>
      <c r="B198" s="915"/>
      <c r="C198" s="915"/>
      <c r="D198" s="915"/>
      <c r="E198" s="915"/>
      <c r="F198" s="1550"/>
      <c r="H198" s="1550"/>
      <c r="N198" s="1550"/>
      <c r="P198" s="1550"/>
      <c r="S198" s="1550"/>
      <c r="T198" s="1550"/>
      <c r="U198" s="1550"/>
      <c r="V198" s="1550"/>
      <c r="X198" s="1550"/>
      <c r="Y198" s="1550"/>
      <c r="Z198" s="1550"/>
      <c r="AA198" s="1550"/>
      <c r="AB198" s="1550"/>
      <c r="AC198" s="1550"/>
      <c r="AD198" s="1550"/>
      <c r="AE198" s="1550"/>
      <c r="AF198" s="1550"/>
      <c r="AG198" s="1550"/>
      <c r="AH198" s="1550"/>
      <c r="AI198" s="1550"/>
      <c r="AJ198" s="1550"/>
      <c r="AK198" s="1550">
        <v>11</v>
      </c>
    </row>
    <row r="199" spans="1:37" ht="11.45" customHeight="1">
      <c r="A199" s="915"/>
      <c r="B199" s="915"/>
      <c r="C199" s="915"/>
      <c r="D199" s="915"/>
      <c r="E199" s="915"/>
      <c r="F199" s="1550"/>
      <c r="H199" s="1550"/>
      <c r="N199" s="1550"/>
      <c r="P199" s="1550"/>
      <c r="S199" s="1550"/>
      <c r="T199" s="1550"/>
      <c r="U199" s="1550"/>
      <c r="V199" s="1550"/>
      <c r="X199" s="1550"/>
      <c r="Y199" s="1550"/>
      <c r="Z199" s="1550"/>
      <c r="AA199" s="1550"/>
      <c r="AB199" s="1550"/>
      <c r="AC199" s="1550"/>
      <c r="AD199" s="1550"/>
      <c r="AE199" s="1550"/>
      <c r="AF199" s="1550"/>
      <c r="AG199" s="1550"/>
      <c r="AH199" s="1550"/>
      <c r="AI199" s="1550"/>
      <c r="AJ199" s="1550"/>
      <c r="AK199" s="1550">
        <v>11</v>
      </c>
    </row>
    <row r="200" spans="1:37" ht="11.45" customHeight="1">
      <c r="A200" s="915"/>
      <c r="B200" s="915"/>
      <c r="C200" s="915"/>
      <c r="D200" s="915"/>
      <c r="E200" s="915"/>
      <c r="F200" s="1550"/>
      <c r="H200" s="1550"/>
      <c r="N200" s="1550"/>
      <c r="P200" s="1550"/>
      <c r="S200" s="1550"/>
      <c r="T200" s="1550"/>
      <c r="U200" s="1550"/>
      <c r="V200" s="1550"/>
      <c r="X200" s="1550"/>
      <c r="Y200" s="1550"/>
      <c r="Z200" s="1550"/>
      <c r="AA200" s="1550"/>
      <c r="AB200" s="1550"/>
      <c r="AC200" s="1550"/>
      <c r="AD200" s="1550"/>
      <c r="AE200" s="1550"/>
      <c r="AF200" s="1550"/>
      <c r="AG200" s="1550"/>
      <c r="AH200" s="1550"/>
      <c r="AI200" s="1550"/>
      <c r="AJ200" s="1550"/>
      <c r="AK200" s="1550">
        <v>11</v>
      </c>
    </row>
    <row r="201" spans="1:37" ht="11.45" customHeight="1">
      <c r="A201" s="915"/>
      <c r="B201" s="915"/>
      <c r="C201" s="915"/>
      <c r="D201" s="915"/>
      <c r="E201" s="915"/>
      <c r="F201" s="1550"/>
      <c r="H201" s="1550"/>
      <c r="N201" s="1550"/>
      <c r="P201" s="1550"/>
      <c r="S201" s="1550"/>
      <c r="T201" s="1550"/>
      <c r="U201" s="1550"/>
      <c r="V201" s="1550"/>
      <c r="X201" s="1550"/>
      <c r="Y201" s="1550"/>
      <c r="Z201" s="1550"/>
      <c r="AA201" s="1550"/>
      <c r="AB201" s="1550"/>
      <c r="AC201" s="1550"/>
      <c r="AD201" s="1550"/>
      <c r="AE201" s="1550"/>
      <c r="AF201" s="1550"/>
      <c r="AG201" s="1550"/>
      <c r="AH201" s="1550"/>
      <c r="AI201" s="1550"/>
      <c r="AJ201" s="1550"/>
      <c r="AK201" s="1550">
        <v>11</v>
      </c>
    </row>
    <row r="202" spans="1:37" ht="11.45" customHeight="1">
      <c r="A202" s="915"/>
      <c r="B202" s="915"/>
      <c r="C202" s="915"/>
      <c r="D202" s="915"/>
      <c r="E202" s="915"/>
      <c r="F202" s="1550"/>
      <c r="H202" s="1550"/>
      <c r="N202" s="1550"/>
      <c r="P202" s="1550"/>
      <c r="S202" s="1550"/>
      <c r="T202" s="1550"/>
      <c r="U202" s="1550"/>
      <c r="V202" s="1550"/>
      <c r="X202" s="1550"/>
      <c r="Y202" s="1550"/>
      <c r="Z202" s="1550"/>
      <c r="AA202" s="1550"/>
      <c r="AB202" s="1550"/>
      <c r="AC202" s="1550"/>
      <c r="AD202" s="1550"/>
      <c r="AE202" s="1550"/>
      <c r="AF202" s="1550"/>
      <c r="AG202" s="1550"/>
      <c r="AH202" s="1550"/>
      <c r="AI202" s="1550"/>
      <c r="AJ202" s="1550"/>
      <c r="AK202" s="1550">
        <v>11</v>
      </c>
    </row>
    <row r="203" spans="1:37" ht="11.45" customHeight="1">
      <c r="A203" s="915"/>
      <c r="B203" s="915"/>
      <c r="C203" s="915"/>
      <c r="D203" s="915"/>
      <c r="E203" s="915"/>
      <c r="F203" s="1550"/>
      <c r="H203" s="1550"/>
      <c r="N203" s="1550"/>
      <c r="P203" s="1550"/>
      <c r="S203" s="1550"/>
      <c r="T203" s="1550"/>
      <c r="U203" s="1550"/>
      <c r="V203" s="1550"/>
      <c r="X203" s="1550"/>
      <c r="Y203" s="1550"/>
      <c r="Z203" s="1550"/>
      <c r="AA203" s="1550"/>
      <c r="AB203" s="1550"/>
      <c r="AC203" s="1550"/>
      <c r="AD203" s="1550"/>
      <c r="AE203" s="1550"/>
      <c r="AF203" s="1550"/>
      <c r="AG203" s="1550"/>
      <c r="AH203" s="1550"/>
      <c r="AI203" s="1550"/>
      <c r="AJ203" s="1550"/>
      <c r="AK203" s="1550">
        <v>11</v>
      </c>
    </row>
    <row r="204" spans="1:37" ht="12.75" hidden="1" customHeight="1">
      <c r="A204" s="912" t="s">
        <v>81</v>
      </c>
      <c r="B204" s="912" t="s">
        <v>149</v>
      </c>
      <c r="C204" s="912" t="s">
        <v>149</v>
      </c>
      <c r="D204" s="912" t="s">
        <v>149</v>
      </c>
      <c r="E204" s="912" t="s">
        <v>149</v>
      </c>
      <c r="F204" s="1554">
        <v>16</v>
      </c>
      <c r="G204" s="1555">
        <v>0</v>
      </c>
      <c r="H204" s="1554">
        <v>3</v>
      </c>
      <c r="I204" s="1550">
        <v>7</v>
      </c>
      <c r="J204" s="1550">
        <v>56</v>
      </c>
      <c r="K204" s="1550">
        <v>10</v>
      </c>
      <c r="L204" s="1550">
        <v>40</v>
      </c>
      <c r="M204" s="1550">
        <v>40</v>
      </c>
      <c r="N204" s="1285">
        <v>9</v>
      </c>
      <c r="O204" s="1550">
        <v>102</v>
      </c>
      <c r="P204" s="1285">
        <v>9</v>
      </c>
      <c r="Q204" s="1555">
        <v>5</v>
      </c>
      <c r="R204" s="1555">
        <v>3</v>
      </c>
      <c r="S204" s="1285">
        <v>3</v>
      </c>
      <c r="T204" s="1285">
        <v>3</v>
      </c>
      <c r="U204" s="1285">
        <v>3</v>
      </c>
      <c r="V204" s="1285">
        <v>3</v>
      </c>
      <c r="W204" s="1555">
        <v>10</v>
      </c>
      <c r="X204" s="1285">
        <v>34</v>
      </c>
      <c r="Y204" s="1285">
        <v>9</v>
      </c>
      <c r="Z204" s="481">
        <v>8</v>
      </c>
      <c r="AA204" s="1285">
        <v>8</v>
      </c>
      <c r="AB204" s="1285">
        <v>8</v>
      </c>
      <c r="AC204" s="1285">
        <v>8</v>
      </c>
      <c r="AD204" s="1285">
        <v>8</v>
      </c>
      <c r="AE204" s="1285">
        <v>8</v>
      </c>
      <c r="AF204" s="1551">
        <v>8</v>
      </c>
      <c r="AG204" s="1551">
        <v>8</v>
      </c>
      <c r="AH204" s="1551">
        <v>8</v>
      </c>
      <c r="AI204" s="1551">
        <v>8</v>
      </c>
      <c r="AJ204" s="1551">
        <v>8</v>
      </c>
      <c r="AK204" s="1550">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2238" hidden="1"/>
    <col min="5" max="5" width="9.140625" style="2272" hidden="1" customWidth="1"/>
    <col min="6" max="7" width="9.140625" style="2244" hidden="1" customWidth="1"/>
    <col min="8" max="8" width="3" style="2273" customWidth="1"/>
    <col min="9" max="9" width="6" style="2238" customWidth="1"/>
    <col min="10" max="10" width="63" style="2238" customWidth="1"/>
    <col min="11" max="11" width="9" style="2238" customWidth="1"/>
    <col min="12" max="12" width="39" style="2238" customWidth="1"/>
    <col min="13" max="13" width="89" style="2238" customWidth="1"/>
    <col min="14" max="14" width="10" style="2238" customWidth="1"/>
    <col min="15" max="16" width="10" style="2251" customWidth="1"/>
    <col min="17" max="22" width="10" style="2238" customWidth="1"/>
    <col min="23" max="23" width="10.5703125" style="2238" hidden="1"/>
  </cols>
  <sheetData>
    <row r="1" spans="1:23" ht="22.5" hidden="1" customHeight="1">
      <c r="S1" s="192"/>
      <c r="T1" s="192"/>
      <c r="V1" s="192"/>
      <c r="W1" s="1550" t="s">
        <v>14</v>
      </c>
    </row>
    <row r="2" spans="1:23" ht="22.5" hidden="1" customHeight="1">
      <c r="B2" s="1966" t="s">
        <v>688</v>
      </c>
      <c r="C2" s="1966" t="s">
        <v>689</v>
      </c>
      <c r="D2" s="1965" t="s">
        <v>628</v>
      </c>
      <c r="E2" s="1971">
        <f>I2-3</f>
        <v>-3</v>
      </c>
      <c r="F2" s="1971">
        <f>J2</f>
        <v>0</v>
      </c>
      <c r="H2" s="1648" t="s">
        <v>575</v>
      </c>
      <c r="I2" s="1937"/>
      <c r="J2" s="1601"/>
      <c r="K2" s="1931" t="s">
        <v>304</v>
      </c>
      <c r="L2" s="1083"/>
      <c r="M2" s="234"/>
      <c r="N2" s="1543"/>
      <c r="P2" s="1550"/>
      <c r="W2" s="1550">
        <v>0</v>
      </c>
    </row>
    <row r="3" spans="1:23" ht="14.25" hidden="1" customHeight="1">
      <c r="W3" s="1550">
        <v>0</v>
      </c>
    </row>
    <row r="4" spans="1:23" ht="6.4" customHeight="1">
      <c r="H4" s="313"/>
      <c r="I4" s="394"/>
      <c r="J4" s="394"/>
      <c r="K4" s="394"/>
      <c r="L4" s="25"/>
      <c r="M4" s="25"/>
      <c r="W4" s="1550">
        <v>6</v>
      </c>
    </row>
    <row r="5" spans="1:23" ht="50.25" customHeight="1">
      <c r="H5" s="313"/>
      <c r="I5" s="2467" t="s">
        <v>690</v>
      </c>
      <c r="J5" s="2467"/>
      <c r="K5" s="2467"/>
      <c r="L5" s="2467"/>
      <c r="M5" s="203"/>
      <c r="W5" s="1550">
        <v>48</v>
      </c>
    </row>
    <row r="6" spans="1:23" ht="18" customHeight="1">
      <c r="H6" s="313"/>
      <c r="I6" s="2412" t="str">
        <f>IF(org=0,"Не определено",org)</f>
        <v>МУП "Водоканал"</v>
      </c>
      <c r="J6" s="2412"/>
      <c r="K6" s="2412"/>
      <c r="L6" s="2412"/>
      <c r="M6" s="203"/>
      <c r="W6" s="1550">
        <v>17</v>
      </c>
    </row>
    <row r="7" spans="1:23" ht="14.65" customHeight="1">
      <c r="H7" s="313"/>
      <c r="I7" s="394"/>
      <c r="J7" s="400"/>
      <c r="K7" s="400"/>
      <c r="L7" s="689"/>
      <c r="M7" s="130"/>
      <c r="W7" s="1550">
        <v>14</v>
      </c>
    </row>
    <row r="8" spans="1:23" ht="14.65" customHeight="1">
      <c r="H8" s="313"/>
      <c r="I8" s="2582" t="s">
        <v>298</v>
      </c>
      <c r="J8" s="2583"/>
      <c r="K8" s="2583"/>
      <c r="L8" s="2584"/>
      <c r="M8" s="2585" t="s">
        <v>299</v>
      </c>
      <c r="W8" s="1550">
        <v>14</v>
      </c>
    </row>
    <row r="9" spans="1:23" ht="35.65" customHeight="1">
      <c r="E9" s="1964" t="s">
        <v>619</v>
      </c>
      <c r="F9" s="1964" t="s">
        <v>625</v>
      </c>
      <c r="H9" s="313"/>
      <c r="I9" s="1938" t="s">
        <v>87</v>
      </c>
      <c r="J9" s="1939" t="s">
        <v>300</v>
      </c>
      <c r="K9" s="1977" t="s">
        <v>564</v>
      </c>
      <c r="L9" s="1978" t="s">
        <v>301</v>
      </c>
      <c r="M9" s="2585"/>
      <c r="W9" s="1550">
        <v>34</v>
      </c>
    </row>
    <row r="10" spans="1:23" ht="35.65" customHeight="1">
      <c r="B10" s="1966" t="s">
        <v>691</v>
      </c>
      <c r="C10" s="1966" t="s">
        <v>692</v>
      </c>
      <c r="D10" s="1965" t="s">
        <v>628</v>
      </c>
      <c r="E10" s="1969" t="s">
        <v>629</v>
      </c>
      <c r="F10" s="1969" t="s">
        <v>629</v>
      </c>
      <c r="H10" s="313"/>
      <c r="I10" s="1937" t="s">
        <v>108</v>
      </c>
      <c r="J10" s="1802" t="s">
        <v>693</v>
      </c>
      <c r="K10" s="1931" t="s">
        <v>304</v>
      </c>
      <c r="L10" s="749"/>
      <c r="M10" s="234" t="s">
        <v>694</v>
      </c>
      <c r="W10" s="1550">
        <v>34</v>
      </c>
    </row>
    <row r="11" spans="1:23" ht="50.25" customHeight="1">
      <c r="B11" s="1966" t="s">
        <v>695</v>
      </c>
      <c r="C11" s="1966" t="s">
        <v>696</v>
      </c>
      <c r="D11" s="1965" t="s">
        <v>628</v>
      </c>
      <c r="E11" s="1969" t="s">
        <v>629</v>
      </c>
      <c r="F11" s="1969" t="s">
        <v>629</v>
      </c>
      <c r="H11" s="313"/>
      <c r="I11" s="1937" t="s">
        <v>109</v>
      </c>
      <c r="J11" s="1802" t="s">
        <v>697</v>
      </c>
      <c r="K11" s="1931" t="s">
        <v>304</v>
      </c>
      <c r="L11" s="749"/>
      <c r="M11" s="234" t="s">
        <v>694</v>
      </c>
      <c r="W11" s="1550">
        <v>48</v>
      </c>
    </row>
    <row r="12" spans="1:23" ht="48.2" customHeight="1">
      <c r="B12" s="1966" t="s">
        <v>698</v>
      </c>
      <c r="C12" s="1966" t="s">
        <v>699</v>
      </c>
      <c r="D12" s="1965" t="s">
        <v>628</v>
      </c>
      <c r="E12" s="1969" t="s">
        <v>629</v>
      </c>
      <c r="F12" s="1969" t="s">
        <v>629</v>
      </c>
      <c r="H12" s="1607"/>
      <c r="I12" s="1937" t="s">
        <v>89</v>
      </c>
      <c r="J12" s="1944" t="s">
        <v>700</v>
      </c>
      <c r="K12" s="1931" t="s">
        <v>304</v>
      </c>
      <c r="L12" s="749"/>
      <c r="M12" s="234" t="s">
        <v>701</v>
      </c>
      <c r="N12" s="1543"/>
      <c r="P12" s="1550"/>
      <c r="W12" s="1550">
        <v>46</v>
      </c>
    </row>
    <row r="13" spans="1:23" ht="14.65" customHeight="1">
      <c r="E13" s="280"/>
      <c r="H13" s="313"/>
      <c r="I13" s="284"/>
      <c r="J13" s="588" t="s">
        <v>702</v>
      </c>
      <c r="K13" s="508"/>
      <c r="L13" s="151"/>
      <c r="M13" s="234"/>
      <c r="W13" s="1550">
        <v>14</v>
      </c>
    </row>
    <row r="14" spans="1:23" ht="14.65" customHeight="1">
      <c r="E14" s="280"/>
      <c r="H14" s="313"/>
      <c r="I14" s="981"/>
      <c r="J14" s="1596"/>
      <c r="K14" s="1597"/>
      <c r="L14" s="1598"/>
      <c r="M14" s="1941"/>
      <c r="W14" s="1550">
        <v>14</v>
      </c>
    </row>
    <row r="15" spans="1:23" ht="14.65" customHeight="1">
      <c r="I15" s="1600"/>
      <c r="J15" s="2503"/>
      <c r="K15" s="2503"/>
      <c r="L15" s="2503"/>
      <c r="M15" s="2503"/>
      <c r="W15" s="1550">
        <v>14</v>
      </c>
    </row>
    <row r="16" spans="1:23" ht="21" hidden="1" customHeight="1">
      <c r="A16" s="1943" t="s">
        <v>81</v>
      </c>
      <c r="B16" s="1550">
        <v>9</v>
      </c>
      <c r="C16" s="1550">
        <v>9</v>
      </c>
      <c r="D16" s="1550">
        <v>9</v>
      </c>
      <c r="E16" s="1943" t="s">
        <v>148</v>
      </c>
      <c r="F16" s="1968" t="s">
        <v>148</v>
      </c>
      <c r="G16" s="1970"/>
      <c r="H16" s="281">
        <v>3</v>
      </c>
      <c r="I16" s="1550">
        <v>6</v>
      </c>
      <c r="J16" s="1550">
        <v>63</v>
      </c>
      <c r="K16" s="1550">
        <v>9</v>
      </c>
      <c r="L16" s="1550">
        <v>39</v>
      </c>
      <c r="M16" s="1550">
        <v>89</v>
      </c>
      <c r="N16" s="1550">
        <v>10</v>
      </c>
      <c r="O16" s="1543">
        <v>10</v>
      </c>
      <c r="P16" s="1543">
        <v>10</v>
      </c>
      <c r="Q16" s="1550">
        <v>10</v>
      </c>
      <c r="R16" s="1550">
        <v>10</v>
      </c>
      <c r="S16" s="1550">
        <v>10</v>
      </c>
      <c r="T16" s="1550">
        <v>10</v>
      </c>
      <c r="U16" s="1550">
        <v>10</v>
      </c>
      <c r="V16" s="1550">
        <v>10</v>
      </c>
      <c r="W16" s="155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2279" hidden="1" customWidth="1"/>
    <col min="2" max="2" width="16.85546875" style="2244" hidden="1" customWidth="1"/>
    <col min="3" max="3" width="5.5703125" style="2245" hidden="1" customWidth="1"/>
    <col min="4" max="4" width="3" style="2238" customWidth="1"/>
    <col min="5" max="5" width="7" style="2238" customWidth="1"/>
    <col min="6" max="6" width="56" style="2238" customWidth="1"/>
    <col min="7" max="7" width="10" style="2238" customWidth="1"/>
    <col min="8" max="8" width="40.7109375" style="2238" hidden="1" customWidth="1"/>
    <col min="9" max="9" width="40" style="2238" customWidth="1"/>
    <col min="10" max="10" width="102" style="2238" customWidth="1"/>
    <col min="11" max="11" width="9" style="2244" customWidth="1"/>
    <col min="12" max="12" width="5" style="2245" customWidth="1"/>
    <col min="13" max="13" width="3" style="2245" customWidth="1"/>
    <col min="14" max="17" width="3" style="2244" customWidth="1"/>
    <col min="18" max="18" width="10" style="2245" customWidth="1"/>
    <col min="19" max="19" width="34" style="2244" customWidth="1"/>
    <col min="20" max="20" width="9" style="2244" customWidth="1"/>
    <col min="21" max="21" width="8" style="2280" customWidth="1"/>
    <col min="22" max="26" width="8" style="2244" customWidth="1"/>
    <col min="27" max="31" width="8" style="2236" customWidth="1"/>
    <col min="32" max="32" width="10.42578125" style="2238" hidden="1" customWidth="1"/>
  </cols>
  <sheetData>
    <row r="1" spans="1:32" s="2244" customFormat="1" ht="22.5" hidden="1" customHeight="1">
      <c r="A1" s="912"/>
      <c r="C1" s="1555"/>
      <c r="D1" s="474"/>
      <c r="H1" s="1079">
        <v>4</v>
      </c>
      <c r="I1" s="1079">
        <v>4</v>
      </c>
      <c r="L1" s="1555"/>
      <c r="M1" s="1555"/>
      <c r="R1" s="1555"/>
      <c r="AF1" s="1079" t="s">
        <v>14</v>
      </c>
    </row>
    <row r="2" spans="1:32" s="2244" customFormat="1" ht="22.5" hidden="1" customHeight="1">
      <c r="A2" s="912"/>
      <c r="C2" s="1555"/>
      <c r="D2" s="475"/>
      <c r="E2" s="1556"/>
      <c r="F2" s="477"/>
      <c r="G2" s="1558" t="s">
        <v>550</v>
      </c>
      <c r="H2" s="478"/>
      <c r="I2" s="478"/>
      <c r="J2" s="479" t="s">
        <v>703</v>
      </c>
      <c r="K2" s="480"/>
      <c r="L2" s="1555"/>
      <c r="M2" s="1555"/>
      <c r="R2" s="1555"/>
      <c r="U2" s="481"/>
      <c r="AA2" s="1551"/>
      <c r="AB2" s="1551"/>
      <c r="AC2" s="1551"/>
      <c r="AD2" s="1551"/>
      <c r="AE2" s="1551"/>
      <c r="AF2" s="1079">
        <v>0</v>
      </c>
    </row>
    <row r="3" spans="1:32" ht="11.25" hidden="1" customHeight="1">
      <c r="AF3" s="1550">
        <v>0</v>
      </c>
    </row>
    <row r="4" spans="1:32" s="2236" customFormat="1" ht="11.25" hidden="1" customHeight="1">
      <c r="A4" s="912"/>
      <c r="B4" s="1079"/>
      <c r="C4" s="1555"/>
      <c r="D4" s="299"/>
      <c r="J4" s="1551">
        <v>4</v>
      </c>
      <c r="K4" s="1079"/>
      <c r="L4" s="1555"/>
      <c r="M4" s="1555"/>
      <c r="N4" s="1079"/>
      <c r="O4" s="1079"/>
      <c r="P4" s="1079"/>
      <c r="Q4" s="1079"/>
      <c r="R4" s="1555"/>
      <c r="S4" s="1079"/>
      <c r="T4" s="1079"/>
      <c r="U4" s="481"/>
      <c r="V4" s="1079"/>
      <c r="W4" s="1079"/>
      <c r="X4" s="1079"/>
      <c r="Y4" s="1079"/>
      <c r="Z4" s="1079"/>
      <c r="AF4" s="1551">
        <v>0</v>
      </c>
    </row>
    <row r="5" spans="1:32" ht="11.45" customHeight="1">
      <c r="AF5" s="1550">
        <v>11</v>
      </c>
    </row>
    <row r="6" spans="1:32" ht="31.5" customHeight="1">
      <c r="E6" s="2427" t="s">
        <v>704</v>
      </c>
      <c r="F6" s="2427"/>
      <c r="G6" s="2427"/>
      <c r="H6" s="2427"/>
      <c r="I6" s="2427"/>
      <c r="J6" s="493"/>
      <c r="AF6" s="1550">
        <v>30</v>
      </c>
    </row>
    <row r="7" spans="1:32" ht="11.45" customHeight="1">
      <c r="E7" s="2412" t="str">
        <f>IF(org=0,"Не определено",org)</f>
        <v>МУП "Водоканал"</v>
      </c>
      <c r="F7" s="2412"/>
      <c r="G7" s="2412"/>
      <c r="H7" s="2412"/>
      <c r="I7" s="2412"/>
      <c r="AF7" s="1550">
        <v>11</v>
      </c>
    </row>
    <row r="8" spans="1:32" ht="11.45" customHeight="1">
      <c r="E8" s="1055"/>
      <c r="F8" s="1055"/>
      <c r="G8" s="1055"/>
      <c r="H8" s="1055"/>
      <c r="I8" s="1055"/>
      <c r="AF8" s="1550">
        <v>11</v>
      </c>
    </row>
    <row r="9" spans="1:32" s="2245" customFormat="1" ht="4.1500000000000004" customHeight="1">
      <c r="A9" s="1086"/>
      <c r="D9" s="1561"/>
      <c r="H9" s="815"/>
      <c r="I9" s="815" t="s">
        <v>116</v>
      </c>
      <c r="AF9" s="1555">
        <v>4</v>
      </c>
    </row>
    <row r="10" spans="1:32" ht="11.45" customHeight="1">
      <c r="E10" s="648"/>
      <c r="F10" s="2566" t="s">
        <v>104</v>
      </c>
      <c r="G10" s="2567"/>
      <c r="H10" s="1471" t="str">
        <f>IF(H9="","",INDEX(DIFFERENTIATION_UNMERGE_VD,MATCH(H9,DIFFERENTIATION_ID_DIFF,0)))</f>
        <v/>
      </c>
      <c r="I10" s="1471" t="str">
        <f>IF(I9="","",INDEX(DIFFERENTIATION_UNMERGE_VD,MATCH(I9,DIFFERENTIATION_ID_DIFF,0)))</f>
        <v>Водоотведение</v>
      </c>
      <c r="J10" s="2363"/>
      <c r="AF10" s="1550">
        <v>11</v>
      </c>
    </row>
    <row r="11" spans="1:32" ht="11.45" customHeight="1">
      <c r="E11" s="648"/>
      <c r="F11" s="2566" t="s">
        <v>562</v>
      </c>
      <c r="G11" s="2567"/>
      <c r="H11" s="1471" t="str">
        <f>IF(H9="","",INDEX(DIFFERENTIATION_UNMERGE_AREA,MATCH(H9,DIFFERENTIATION_ID_DIFF,0)))</f>
        <v/>
      </c>
      <c r="I11" s="1471" t="str">
        <f>IF(I9="","",INDEX(DIFFERENTIATION_UNMERGE_AREA,MATCH(I9,DIFFERENTIATION_ID_DIFF,0)))</f>
        <v>Территория 1</v>
      </c>
      <c r="J11" s="2363"/>
      <c r="AF11" s="1550">
        <v>11</v>
      </c>
    </row>
    <row r="12" spans="1:32" ht="1.1499999999999999" customHeight="1">
      <c r="E12" s="1581"/>
      <c r="F12" s="2586" t="s">
        <v>563</v>
      </c>
      <c r="G12" s="2587"/>
      <c r="H12" s="1582" t="str">
        <f>IF(H9="","",INDEX(DIFFERENTIATION_UNMERGE_SYSTEM,MATCH(H9,DIFFERENTIATION_ID_DIFF,0)))</f>
        <v/>
      </c>
      <c r="I12" s="1582" t="str">
        <f>IF(I9="","",INDEX(DIFFERENTIATION_UNMERGE_SYSTEM,MATCH(I9,DIFFERENTIATION_ID_DIFF,0)))</f>
        <v>без дифференциации</v>
      </c>
      <c r="J12" s="2363"/>
      <c r="AF12" s="1550">
        <v>1</v>
      </c>
    </row>
    <row r="13" spans="1:32" ht="11.45" customHeight="1">
      <c r="E13" s="2568" t="s">
        <v>298</v>
      </c>
      <c r="F13" s="2569"/>
      <c r="G13" s="2569"/>
      <c r="H13" s="1470"/>
      <c r="I13" s="1470"/>
      <c r="J13" s="2363"/>
      <c r="AF13" s="1550">
        <v>11</v>
      </c>
    </row>
    <row r="14" spans="1:32" ht="24" customHeight="1">
      <c r="E14" s="1558" t="s">
        <v>87</v>
      </c>
      <c r="F14" s="1553" t="s">
        <v>300</v>
      </c>
      <c r="G14" s="1553" t="s">
        <v>564</v>
      </c>
      <c r="H14" s="1553" t="s">
        <v>301</v>
      </c>
      <c r="I14" s="1553" t="s">
        <v>301</v>
      </c>
      <c r="J14" s="2363"/>
      <c r="AF14" s="1550">
        <v>23</v>
      </c>
    </row>
    <row r="15" spans="1:32" ht="19.899999999999999" customHeight="1">
      <c r="D15" s="1557"/>
      <c r="E15" s="1549" t="s">
        <v>108</v>
      </c>
      <c r="F15" s="644" t="s">
        <v>705</v>
      </c>
      <c r="G15" s="1565" t="s">
        <v>550</v>
      </c>
      <c r="H15" s="494"/>
      <c r="I15" s="494"/>
      <c r="J15" s="226" t="s">
        <v>706</v>
      </c>
      <c r="K15" s="480" t="s">
        <v>631</v>
      </c>
      <c r="AF15" s="1550">
        <v>19</v>
      </c>
    </row>
    <row r="16" spans="1:32" ht="35.65" customHeight="1">
      <c r="D16" s="1557"/>
      <c r="E16" s="1549" t="s">
        <v>109</v>
      </c>
      <c r="F16" s="644" t="s">
        <v>707</v>
      </c>
      <c r="G16" s="1565" t="s">
        <v>550</v>
      </c>
      <c r="H16" s="495">
        <f>SUM(H17,H20,H23,H26,H29:H32,H35)</f>
        <v>0</v>
      </c>
      <c r="I16" s="495">
        <f>SUM(I17,I20,I23,I26,I29:I32,I35)</f>
        <v>0</v>
      </c>
      <c r="J16" s="226" t="s">
        <v>708</v>
      </c>
      <c r="K16" s="480" t="s">
        <v>631</v>
      </c>
      <c r="AF16" s="1550">
        <v>34</v>
      </c>
    </row>
    <row r="17" spans="1:32" ht="19.899999999999999" customHeight="1">
      <c r="D17" s="1557"/>
      <c r="E17" s="1583" t="s">
        <v>709</v>
      </c>
      <c r="F17" s="880" t="s">
        <v>710</v>
      </c>
      <c r="G17" s="1562" t="s">
        <v>550</v>
      </c>
      <c r="H17" s="494"/>
      <c r="I17" s="494"/>
      <c r="J17" s="226" t="s">
        <v>711</v>
      </c>
      <c r="K17" s="480"/>
      <c r="AF17" s="1550">
        <v>19</v>
      </c>
    </row>
    <row r="18" spans="1:32" ht="24" customHeight="1">
      <c r="D18" s="1557"/>
      <c r="E18" s="1583" t="s">
        <v>712</v>
      </c>
      <c r="F18" s="1569" t="s">
        <v>713</v>
      </c>
      <c r="G18" s="1562" t="s">
        <v>550</v>
      </c>
      <c r="H18" s="494"/>
      <c r="I18" s="494"/>
      <c r="J18" s="226" t="s">
        <v>714</v>
      </c>
      <c r="K18" s="480"/>
      <c r="AF18" s="1550">
        <v>23</v>
      </c>
    </row>
    <row r="19" spans="1:32" ht="35.65" customHeight="1">
      <c r="D19" s="1557"/>
      <c r="E19" s="1583" t="s">
        <v>715</v>
      </c>
      <c r="F19" s="1569" t="s">
        <v>716</v>
      </c>
      <c r="G19" s="1562" t="s">
        <v>550</v>
      </c>
      <c r="H19" s="494"/>
      <c r="I19" s="494"/>
      <c r="J19" s="226"/>
      <c r="K19" s="480"/>
      <c r="AF19" s="1550">
        <v>34</v>
      </c>
    </row>
    <row r="20" spans="1:32" ht="19.899999999999999" customHeight="1">
      <c r="D20" s="1557"/>
      <c r="E20" s="1583" t="s">
        <v>305</v>
      </c>
      <c r="F20" s="880" t="s">
        <v>717</v>
      </c>
      <c r="G20" s="1562" t="s">
        <v>550</v>
      </c>
      <c r="H20" s="494"/>
      <c r="I20" s="494"/>
      <c r="J20" s="226" t="s">
        <v>718</v>
      </c>
      <c r="K20" s="480"/>
      <c r="AF20" s="1550">
        <v>19</v>
      </c>
    </row>
    <row r="21" spans="1:32" ht="19.899999999999999" customHeight="1">
      <c r="D21" s="1557"/>
      <c r="E21" s="1583" t="s">
        <v>719</v>
      </c>
      <c r="F21" s="1569" t="s">
        <v>720</v>
      </c>
      <c r="G21" s="1562" t="s">
        <v>550</v>
      </c>
      <c r="H21" s="494"/>
      <c r="I21" s="494"/>
      <c r="J21" s="226"/>
      <c r="K21" s="480"/>
      <c r="AF21" s="1550">
        <v>19</v>
      </c>
    </row>
    <row r="22" spans="1:32" ht="19.899999999999999" customHeight="1">
      <c r="D22" s="1557"/>
      <c r="E22" s="1583" t="s">
        <v>721</v>
      </c>
      <c r="F22" s="1569" t="s">
        <v>722</v>
      </c>
      <c r="G22" s="1562" t="s">
        <v>550</v>
      </c>
      <c r="H22" s="494"/>
      <c r="I22" s="494"/>
      <c r="J22" s="226"/>
      <c r="K22" s="480"/>
      <c r="AF22" s="1550">
        <v>19</v>
      </c>
    </row>
    <row r="23" spans="1:32" ht="24" customHeight="1">
      <c r="D23" s="1557"/>
      <c r="E23" s="1583" t="s">
        <v>308</v>
      </c>
      <c r="F23" s="880" t="s">
        <v>723</v>
      </c>
      <c r="G23" s="1562" t="s">
        <v>550</v>
      </c>
      <c r="H23" s="494"/>
      <c r="I23" s="494"/>
      <c r="J23" s="226" t="s">
        <v>724</v>
      </c>
      <c r="K23" s="480"/>
      <c r="AF23" s="1550">
        <v>23</v>
      </c>
    </row>
    <row r="24" spans="1:32" ht="19.899999999999999" customHeight="1">
      <c r="D24" s="1557"/>
      <c r="E24" s="1583" t="s">
        <v>725</v>
      </c>
      <c r="F24" s="1569" t="s">
        <v>726</v>
      </c>
      <c r="G24" s="1562" t="s">
        <v>550</v>
      </c>
      <c r="H24" s="494"/>
      <c r="I24" s="494"/>
      <c r="J24" s="226"/>
      <c r="K24" s="480"/>
      <c r="AF24" s="1550">
        <v>19</v>
      </c>
    </row>
    <row r="25" spans="1:32" ht="35.65" customHeight="1">
      <c r="D25" s="1557"/>
      <c r="E25" s="1583" t="s">
        <v>727</v>
      </c>
      <c r="F25" s="1569" t="s">
        <v>728</v>
      </c>
      <c r="G25" s="1562" t="s">
        <v>550</v>
      </c>
      <c r="H25" s="494"/>
      <c r="I25" s="494"/>
      <c r="J25" s="226"/>
      <c r="K25" s="480"/>
      <c r="AF25" s="1550">
        <v>34</v>
      </c>
    </row>
    <row r="26" spans="1:32" ht="24" customHeight="1">
      <c r="D26" s="1557"/>
      <c r="E26" s="1583" t="s">
        <v>729</v>
      </c>
      <c r="F26" s="880" t="s">
        <v>730</v>
      </c>
      <c r="G26" s="1562" t="s">
        <v>550</v>
      </c>
      <c r="H26" s="494"/>
      <c r="I26" s="494"/>
      <c r="J26" s="226" t="s">
        <v>731</v>
      </c>
      <c r="K26" s="480"/>
      <c r="AF26" s="1550">
        <v>23</v>
      </c>
    </row>
    <row r="27" spans="1:32" ht="19.899999999999999" customHeight="1">
      <c r="D27" s="1557"/>
      <c r="E27" s="1594" t="s">
        <v>732</v>
      </c>
      <c r="F27" s="1569" t="s">
        <v>733</v>
      </c>
      <c r="G27" s="1573" t="s">
        <v>550</v>
      </c>
      <c r="H27" s="1595"/>
      <c r="I27" s="1595"/>
      <c r="J27" s="226"/>
      <c r="K27" s="480"/>
      <c r="AF27" s="1550">
        <v>19</v>
      </c>
    </row>
    <row r="28" spans="1:32" ht="19.899999999999999" customHeight="1">
      <c r="D28" s="1557"/>
      <c r="E28" s="1594" t="s">
        <v>734</v>
      </c>
      <c r="F28" s="1569" t="s">
        <v>735</v>
      </c>
      <c r="G28" s="1573" t="s">
        <v>550</v>
      </c>
      <c r="H28" s="1595"/>
      <c r="I28" s="1595"/>
      <c r="J28" s="226"/>
      <c r="K28" s="480"/>
      <c r="AF28" s="1550">
        <v>19</v>
      </c>
    </row>
    <row r="29" spans="1:32" ht="19.899999999999999" customHeight="1">
      <c r="D29" s="1557"/>
      <c r="E29" s="1594" t="s">
        <v>736</v>
      </c>
      <c r="F29" s="880" t="s">
        <v>737</v>
      </c>
      <c r="G29" s="1573" t="s">
        <v>550</v>
      </c>
      <c r="H29" s="1595"/>
      <c r="I29" s="1595"/>
      <c r="J29" s="226"/>
      <c r="K29" s="480"/>
      <c r="AF29" s="1550">
        <v>19</v>
      </c>
    </row>
    <row r="30" spans="1:32" ht="19.899999999999999" customHeight="1">
      <c r="D30" s="1557"/>
      <c r="E30" s="1594" t="s">
        <v>738</v>
      </c>
      <c r="F30" s="880" t="s">
        <v>739</v>
      </c>
      <c r="G30" s="1573" t="s">
        <v>550</v>
      </c>
      <c r="H30" s="1595"/>
      <c r="I30" s="1595"/>
      <c r="J30" s="226"/>
      <c r="K30" s="480"/>
      <c r="AF30" s="1550">
        <v>19</v>
      </c>
    </row>
    <row r="31" spans="1:32" ht="19.899999999999999" customHeight="1">
      <c r="D31" s="1557"/>
      <c r="E31" s="1594" t="s">
        <v>740</v>
      </c>
      <c r="F31" s="880" t="s">
        <v>741</v>
      </c>
      <c r="G31" s="1573" t="s">
        <v>550</v>
      </c>
      <c r="H31" s="1595"/>
      <c r="I31" s="1595"/>
      <c r="J31" s="226"/>
      <c r="K31" s="480"/>
      <c r="AF31" s="1550">
        <v>19</v>
      </c>
    </row>
    <row r="32" spans="1:32" s="2244" customFormat="1" ht="35.65" customHeight="1">
      <c r="A32" s="912"/>
      <c r="C32" s="1555"/>
      <c r="D32" s="1557"/>
      <c r="E32" s="1594" t="s">
        <v>742</v>
      </c>
      <c r="F32" s="880" t="s">
        <v>743</v>
      </c>
      <c r="G32" s="1563" t="s">
        <v>550</v>
      </c>
      <c r="H32" s="516">
        <f>SUM(H33:H34)</f>
        <v>0</v>
      </c>
      <c r="I32" s="516">
        <f>SUM(I33:I34)</f>
        <v>0</v>
      </c>
      <c r="J32" s="226" t="s">
        <v>744</v>
      </c>
      <c r="K32" s="480"/>
      <c r="L32" s="1555"/>
      <c r="M32" s="1555"/>
      <c r="R32" s="1555"/>
      <c r="U32" s="481"/>
      <c r="AA32" s="1551"/>
      <c r="AB32" s="1551"/>
      <c r="AC32" s="1551"/>
      <c r="AD32" s="1551"/>
      <c r="AE32" s="1551"/>
      <c r="AF32" s="1079">
        <v>34</v>
      </c>
    </row>
    <row r="33" spans="1:32" s="2245" customFormat="1" ht="1.1499999999999999" customHeight="1">
      <c r="A33" s="1086"/>
      <c r="D33" s="485"/>
      <c r="E33" s="733" t="str">
        <f>E32&amp;".0"</f>
        <v>2.8.0</v>
      </c>
      <c r="F33" s="916"/>
      <c r="G33" s="488"/>
      <c r="H33" s="917"/>
      <c r="I33" s="917"/>
      <c r="J33" s="918"/>
      <c r="AF33" s="1555">
        <v>1</v>
      </c>
    </row>
    <row r="34" spans="1:32" s="2244" customFormat="1" ht="19.899999999999999" customHeight="1">
      <c r="A34" s="912"/>
      <c r="C34" s="1555"/>
      <c r="D34" s="1552"/>
      <c r="E34" s="507"/>
      <c r="F34" s="1585" t="s">
        <v>577</v>
      </c>
      <c r="G34" s="509"/>
      <c r="H34" s="510"/>
      <c r="I34" s="510"/>
      <c r="J34" s="238" t="s">
        <v>745</v>
      </c>
      <c r="K34" s="480"/>
      <c r="L34" s="1555"/>
      <c r="M34" s="1555"/>
      <c r="R34" s="1555"/>
      <c r="U34" s="481"/>
      <c r="AA34" s="1551"/>
      <c r="AB34" s="1551"/>
      <c r="AC34" s="1551"/>
      <c r="AD34" s="1551"/>
      <c r="AE34" s="1551"/>
      <c r="AF34" s="1079">
        <v>19</v>
      </c>
    </row>
    <row r="35" spans="1:32" ht="60" customHeight="1">
      <c r="D35" s="1557"/>
      <c r="E35" s="1594" t="s">
        <v>746</v>
      </c>
      <c r="F35" s="880" t="s">
        <v>747</v>
      </c>
      <c r="G35" s="1573" t="s">
        <v>550</v>
      </c>
      <c r="H35" s="1595"/>
      <c r="I35" s="1595"/>
      <c r="J35" s="226" t="s">
        <v>748</v>
      </c>
      <c r="K35" s="480"/>
      <c r="AF35" s="1550">
        <v>57</v>
      </c>
    </row>
    <row r="36" spans="1:32" s="2244" customFormat="1" ht="24" customHeight="1">
      <c r="A36" s="914" t="s">
        <v>578</v>
      </c>
      <c r="C36" s="1555"/>
      <c r="D36" s="1557"/>
      <c r="E36" s="1583" t="s">
        <v>89</v>
      </c>
      <c r="F36" s="644" t="s">
        <v>749</v>
      </c>
      <c r="G36" s="1562" t="s">
        <v>550</v>
      </c>
      <c r="H36" s="494"/>
      <c r="I36" s="494"/>
      <c r="J36" s="226" t="s">
        <v>750</v>
      </c>
      <c r="K36" s="480"/>
      <c r="L36" s="1555"/>
      <c r="M36" s="1555"/>
      <c r="R36" s="1555"/>
      <c r="U36" s="481"/>
      <c r="AA36" s="1551"/>
      <c r="AB36" s="1551"/>
      <c r="AC36" s="1551"/>
      <c r="AD36" s="1551"/>
      <c r="AE36" s="1551"/>
      <c r="AF36" s="1079">
        <v>23</v>
      </c>
    </row>
    <row r="37" spans="1:32" s="2244" customFormat="1" ht="35.65" customHeight="1">
      <c r="A37" s="914"/>
      <c r="C37" s="1555"/>
      <c r="D37" s="1557"/>
      <c r="E37" s="1583" t="s">
        <v>322</v>
      </c>
      <c r="F37" s="880" t="s">
        <v>751</v>
      </c>
      <c r="G37" s="1573"/>
      <c r="H37" s="494"/>
      <c r="I37" s="494"/>
      <c r="J37" s="226"/>
      <c r="K37" s="480"/>
      <c r="L37" s="1555"/>
      <c r="M37" s="1555"/>
      <c r="R37" s="1555"/>
      <c r="U37" s="481"/>
      <c r="AA37" s="1551"/>
      <c r="AB37" s="1551"/>
      <c r="AC37" s="1551"/>
      <c r="AD37" s="1551"/>
      <c r="AE37" s="1551"/>
      <c r="AF37" s="1079">
        <v>34</v>
      </c>
    </row>
    <row r="38" spans="1:32" s="2244" customFormat="1" ht="19.899999999999999" customHeight="1">
      <c r="A38" s="912"/>
      <c r="C38" s="1555"/>
      <c r="D38" s="512"/>
      <c r="E38" s="1583" t="s">
        <v>90</v>
      </c>
      <c r="F38" s="644" t="s">
        <v>752</v>
      </c>
      <c r="G38" s="1562" t="s">
        <v>550</v>
      </c>
      <c r="H38" s="494"/>
      <c r="I38" s="494"/>
      <c r="J38" s="226" t="s">
        <v>753</v>
      </c>
      <c r="K38" s="480"/>
      <c r="L38" s="1555"/>
      <c r="M38" s="1555"/>
      <c r="R38" s="1555"/>
      <c r="U38" s="481"/>
      <c r="AA38" s="1551"/>
      <c r="AB38" s="1551"/>
      <c r="AC38" s="1551"/>
      <c r="AD38" s="1551"/>
      <c r="AE38" s="1551"/>
      <c r="AF38" s="1079">
        <v>19</v>
      </c>
    </row>
    <row r="39" spans="1:32" s="2244" customFormat="1" ht="24" customHeight="1">
      <c r="A39" s="912"/>
      <c r="C39" s="1555"/>
      <c r="D39" s="512"/>
      <c r="E39" s="1583" t="s">
        <v>754</v>
      </c>
      <c r="F39" s="880" t="s">
        <v>755</v>
      </c>
      <c r="G39" s="1573" t="s">
        <v>550</v>
      </c>
      <c r="H39" s="494"/>
      <c r="I39" s="494"/>
      <c r="J39" s="226" t="s">
        <v>756</v>
      </c>
      <c r="K39" s="480"/>
      <c r="L39" s="1555"/>
      <c r="M39" s="1555"/>
      <c r="R39" s="1555"/>
      <c r="U39" s="481"/>
      <c r="AA39" s="1551"/>
      <c r="AB39" s="1551"/>
      <c r="AC39" s="1551"/>
      <c r="AD39" s="1551"/>
      <c r="AE39" s="1551"/>
      <c r="AF39" s="1079">
        <v>23</v>
      </c>
    </row>
    <row r="40" spans="1:32" s="2244" customFormat="1" ht="24" customHeight="1">
      <c r="A40" s="912"/>
      <c r="C40" s="1555"/>
      <c r="D40" s="1557"/>
      <c r="E40" s="1583" t="s">
        <v>757</v>
      </c>
      <c r="F40" s="1569" t="s">
        <v>758</v>
      </c>
      <c r="G40" s="1562" t="s">
        <v>550</v>
      </c>
      <c r="H40" s="494"/>
      <c r="I40" s="494"/>
      <c r="J40" s="226" t="s">
        <v>759</v>
      </c>
      <c r="K40" s="480"/>
      <c r="L40" s="1555"/>
      <c r="M40" s="1555"/>
      <c r="R40" s="1555"/>
      <c r="U40" s="481"/>
      <c r="AA40" s="1551"/>
      <c r="AB40" s="1551"/>
      <c r="AC40" s="1551"/>
      <c r="AD40" s="1551"/>
      <c r="AE40" s="1551"/>
      <c r="AF40" s="1079">
        <v>23</v>
      </c>
    </row>
    <row r="41" spans="1:32" s="2244" customFormat="1" ht="24" customHeight="1">
      <c r="A41" s="912"/>
      <c r="C41" s="1555"/>
      <c r="D41" s="1557"/>
      <c r="E41" s="1583" t="s">
        <v>760</v>
      </c>
      <c r="F41" s="1569" t="s">
        <v>761</v>
      </c>
      <c r="G41" s="1562" t="s">
        <v>550</v>
      </c>
      <c r="H41" s="494"/>
      <c r="I41" s="494"/>
      <c r="J41" s="226" t="s">
        <v>762</v>
      </c>
      <c r="K41" s="480"/>
      <c r="L41" s="1555"/>
      <c r="M41" s="1555"/>
      <c r="R41" s="1555"/>
      <c r="U41" s="481"/>
      <c r="AA41" s="1551"/>
      <c r="AB41" s="1551"/>
      <c r="AC41" s="1551"/>
      <c r="AD41" s="1551"/>
      <c r="AE41" s="1551"/>
      <c r="AF41" s="1079">
        <v>23</v>
      </c>
    </row>
    <row r="42" spans="1:32" s="2244" customFormat="1" ht="24" customHeight="1">
      <c r="A42" s="912"/>
      <c r="C42" s="1555"/>
      <c r="D42" s="1557"/>
      <c r="E42" s="1583" t="s">
        <v>763</v>
      </c>
      <c r="F42" s="1569" t="s">
        <v>764</v>
      </c>
      <c r="G42" s="1562" t="s">
        <v>550</v>
      </c>
      <c r="H42" s="494"/>
      <c r="I42" s="494"/>
      <c r="J42" s="226" t="s">
        <v>765</v>
      </c>
      <c r="K42" s="480"/>
      <c r="L42" s="1555"/>
      <c r="M42" s="1555"/>
      <c r="R42" s="1555"/>
      <c r="U42" s="481"/>
      <c r="AA42" s="1551"/>
      <c r="AB42" s="1551"/>
      <c r="AC42" s="1551"/>
      <c r="AD42" s="1551"/>
      <c r="AE42" s="1551"/>
      <c r="AF42" s="1079">
        <v>23</v>
      </c>
    </row>
    <row r="43" spans="1:32" s="2244" customFormat="1" ht="35.65" customHeight="1">
      <c r="A43" s="912"/>
      <c r="C43" s="1555" t="s">
        <v>589</v>
      </c>
      <c r="D43" s="1557"/>
      <c r="E43" s="1583" t="s">
        <v>110</v>
      </c>
      <c r="F43" s="644" t="s">
        <v>630</v>
      </c>
      <c r="G43" s="1565" t="s">
        <v>766</v>
      </c>
      <c r="H43" s="338"/>
      <c r="I43" s="338"/>
      <c r="J43" s="226" t="s">
        <v>767</v>
      </c>
      <c r="K43" s="480"/>
      <c r="L43" s="1555"/>
      <c r="M43" s="1555"/>
      <c r="R43" s="1555"/>
      <c r="U43" s="481"/>
      <c r="AA43" s="1551"/>
      <c r="AB43" s="1551"/>
      <c r="AC43" s="1551"/>
      <c r="AD43" s="1551"/>
      <c r="AE43" s="1551"/>
      <c r="AF43" s="1079">
        <v>34</v>
      </c>
    </row>
    <row r="44" spans="1:32" s="2244" customFormat="1" ht="35.65" customHeight="1">
      <c r="A44" s="912"/>
      <c r="C44" s="1555"/>
      <c r="D44" s="1557"/>
      <c r="E44" s="1583" t="s">
        <v>91</v>
      </c>
      <c r="F44" s="644" t="s">
        <v>768</v>
      </c>
      <c r="G44" s="1562" t="s">
        <v>769</v>
      </c>
      <c r="H44" s="482"/>
      <c r="I44" s="482"/>
      <c r="J44" s="226" t="s">
        <v>770</v>
      </c>
      <c r="K44" s="480"/>
      <c r="L44" s="1555"/>
      <c r="M44" s="1555"/>
      <c r="R44" s="1555"/>
      <c r="U44" s="481"/>
      <c r="AA44" s="1551"/>
      <c r="AB44" s="1551"/>
      <c r="AC44" s="1551"/>
      <c r="AD44" s="1551"/>
      <c r="AE44" s="1551"/>
      <c r="AF44" s="1079">
        <v>34</v>
      </c>
    </row>
    <row r="45" spans="1:32" s="2244" customFormat="1" ht="24" customHeight="1">
      <c r="A45" s="912"/>
      <c r="C45" s="1555"/>
      <c r="D45" s="1557"/>
      <c r="E45" s="1583" t="s">
        <v>92</v>
      </c>
      <c r="F45" s="644" t="s">
        <v>771</v>
      </c>
      <c r="G45" s="1573" t="s">
        <v>772</v>
      </c>
      <c r="H45" s="482"/>
      <c r="I45" s="482"/>
      <c r="J45" s="226" t="s">
        <v>773</v>
      </c>
      <c r="K45" s="480"/>
      <c r="L45" s="1555"/>
      <c r="M45" s="1555"/>
      <c r="R45" s="1555"/>
      <c r="U45" s="481"/>
      <c r="AA45" s="1551"/>
      <c r="AB45" s="1551"/>
      <c r="AC45" s="1551"/>
      <c r="AD45" s="1551"/>
      <c r="AE45" s="1551"/>
      <c r="AF45" s="1079">
        <v>23</v>
      </c>
    </row>
    <row r="46" spans="1:32" s="2244" customFormat="1" ht="19.899999999999999" customHeight="1">
      <c r="A46" s="912"/>
      <c r="C46" s="1555"/>
      <c r="D46" s="1557"/>
      <c r="E46" s="1583" t="s">
        <v>111</v>
      </c>
      <c r="F46" s="644" t="s">
        <v>774</v>
      </c>
      <c r="G46" s="1562" t="s">
        <v>591</v>
      </c>
      <c r="H46" s="514"/>
      <c r="I46" s="514"/>
      <c r="J46" s="226"/>
      <c r="K46" s="480"/>
      <c r="L46" s="1555"/>
      <c r="M46" s="1555"/>
      <c r="R46" s="1555"/>
      <c r="U46" s="481"/>
      <c r="AA46" s="1551"/>
      <c r="AB46" s="1551"/>
      <c r="AC46" s="1551"/>
      <c r="AD46" s="1551"/>
      <c r="AE46" s="1551"/>
      <c r="AF46" s="1079">
        <v>19</v>
      </c>
    </row>
    <row r="47" spans="1:32" ht="11.45" customHeight="1">
      <c r="D47" s="1557"/>
      <c r="AF47" s="1550">
        <v>11</v>
      </c>
    </row>
    <row r="48" spans="1:32" s="2269" customFormat="1" ht="11.45" customHeight="1">
      <c r="A48" s="912"/>
      <c r="B48" s="1555"/>
      <c r="C48" s="1555"/>
      <c r="D48" s="288"/>
      <c r="K48" s="1079"/>
      <c r="L48" s="1555"/>
      <c r="M48" s="1555"/>
      <c r="N48" s="1079"/>
      <c r="O48" s="1079"/>
      <c r="P48" s="1079"/>
      <c r="Q48" s="1079"/>
      <c r="R48" s="1555"/>
      <c r="S48" s="1079"/>
      <c r="T48" s="1079"/>
      <c r="U48" s="481"/>
      <c r="V48" s="1079"/>
      <c r="W48" s="1079"/>
      <c r="X48" s="1079"/>
      <c r="Y48" s="1079"/>
      <c r="Z48" s="1079"/>
      <c r="AA48" s="1551"/>
      <c r="AB48" s="503"/>
      <c r="AC48" s="503"/>
      <c r="AD48" s="503"/>
      <c r="AE48" s="503"/>
      <c r="AF48" s="1560">
        <v>11</v>
      </c>
    </row>
    <row r="49" spans="1:32" s="2269" customFormat="1" ht="11.45" customHeight="1">
      <c r="A49" s="912"/>
      <c r="B49" s="1555"/>
      <c r="C49" s="1555"/>
      <c r="D49" s="288"/>
      <c r="K49" s="1079"/>
      <c r="L49" s="1555"/>
      <c r="M49" s="1555"/>
      <c r="N49" s="1079"/>
      <c r="O49" s="1079"/>
      <c r="P49" s="1079"/>
      <c r="Q49" s="1079"/>
      <c r="R49" s="1555"/>
      <c r="S49" s="1079"/>
      <c r="T49" s="1079"/>
      <c r="U49" s="481"/>
      <c r="V49" s="1079"/>
      <c r="W49" s="1079"/>
      <c r="X49" s="1079"/>
      <c r="Y49" s="1079"/>
      <c r="Z49" s="1079"/>
      <c r="AA49" s="1551"/>
      <c r="AB49" s="503"/>
      <c r="AC49" s="503"/>
      <c r="AD49" s="503"/>
      <c r="AE49" s="503"/>
      <c r="AF49" s="1560">
        <v>11</v>
      </c>
    </row>
    <row r="50" spans="1:32" s="2269" customFormat="1" ht="11.45" customHeight="1">
      <c r="A50" s="912"/>
      <c r="B50" s="1555"/>
      <c r="C50" s="1555"/>
      <c r="D50" s="288"/>
      <c r="H50" s="503"/>
      <c r="I50" s="503"/>
      <c r="K50" s="1079"/>
      <c r="L50" s="1555"/>
      <c r="M50" s="1555"/>
      <c r="N50" s="1079"/>
      <c r="O50" s="1079"/>
      <c r="P50" s="1079"/>
      <c r="Q50" s="1079"/>
      <c r="R50" s="1555"/>
      <c r="S50" s="1079"/>
      <c r="T50" s="1079"/>
      <c r="U50" s="481"/>
      <c r="V50" s="1079"/>
      <c r="W50" s="1079"/>
      <c r="X50" s="1079"/>
      <c r="Y50" s="1079"/>
      <c r="Z50" s="1079"/>
      <c r="AA50" s="1551"/>
      <c r="AB50" s="503"/>
      <c r="AC50" s="503"/>
      <c r="AD50" s="503"/>
      <c r="AE50" s="503"/>
      <c r="AF50" s="1560">
        <v>11</v>
      </c>
    </row>
    <row r="51" spans="1:32" s="2269" customFormat="1" ht="11.45" customHeight="1">
      <c r="A51" s="912"/>
      <c r="B51" s="1555"/>
      <c r="C51" s="1555"/>
      <c r="D51" s="288"/>
      <c r="K51" s="1079"/>
      <c r="L51" s="1555"/>
      <c r="M51" s="1555"/>
      <c r="N51" s="1079"/>
      <c r="O51" s="1079"/>
      <c r="P51" s="1079"/>
      <c r="Q51" s="1079"/>
      <c r="R51" s="1555"/>
      <c r="S51" s="1079"/>
      <c r="T51" s="1079"/>
      <c r="U51" s="481"/>
      <c r="V51" s="1079"/>
      <c r="W51" s="1079"/>
      <c r="X51" s="1079"/>
      <c r="Y51" s="1079"/>
      <c r="Z51" s="1079"/>
      <c r="AA51" s="1551"/>
      <c r="AB51" s="503"/>
      <c r="AC51" s="503"/>
      <c r="AD51" s="503"/>
      <c r="AE51" s="503"/>
      <c r="AF51" s="1560">
        <v>11</v>
      </c>
    </row>
    <row r="52" spans="1:32" s="2269" customFormat="1" ht="11.45" customHeight="1">
      <c r="A52" s="912"/>
      <c r="B52" s="1555"/>
      <c r="C52" s="1555"/>
      <c r="D52" s="288"/>
      <c r="K52" s="1079"/>
      <c r="L52" s="1555"/>
      <c r="M52" s="1555"/>
      <c r="N52" s="1079"/>
      <c r="O52" s="1079"/>
      <c r="P52" s="1079"/>
      <c r="Q52" s="1079"/>
      <c r="R52" s="1555"/>
      <c r="S52" s="1079"/>
      <c r="T52" s="1079"/>
      <c r="U52" s="481"/>
      <c r="V52" s="1079"/>
      <c r="W52" s="1079"/>
      <c r="X52" s="1079"/>
      <c r="Y52" s="1079"/>
      <c r="Z52" s="1079"/>
      <c r="AA52" s="1551"/>
      <c r="AB52" s="503"/>
      <c r="AC52" s="503"/>
      <c r="AD52" s="503"/>
      <c r="AE52" s="503"/>
      <c r="AF52" s="1560">
        <v>11</v>
      </c>
    </row>
    <row r="53" spans="1:32" s="2269" customFormat="1" ht="11.45" customHeight="1">
      <c r="A53" s="912"/>
      <c r="B53" s="1555"/>
      <c r="C53" s="1555"/>
      <c r="D53" s="288"/>
      <c r="K53" s="1079"/>
      <c r="L53" s="1555"/>
      <c r="M53" s="1555"/>
      <c r="N53" s="1079"/>
      <c r="O53" s="1079"/>
      <c r="P53" s="1079"/>
      <c r="Q53" s="1079"/>
      <c r="R53" s="1555"/>
      <c r="S53" s="1079"/>
      <c r="T53" s="1079"/>
      <c r="U53" s="481"/>
      <c r="V53" s="1079"/>
      <c r="W53" s="1079"/>
      <c r="X53" s="1079"/>
      <c r="Y53" s="1079"/>
      <c r="Z53" s="1079"/>
      <c r="AA53" s="1551"/>
      <c r="AB53" s="503"/>
      <c r="AC53" s="503"/>
      <c r="AD53" s="503"/>
      <c r="AE53" s="503"/>
      <c r="AF53" s="1560">
        <v>11</v>
      </c>
    </row>
    <row r="54" spans="1:32" s="2269" customFormat="1" ht="11.45" customHeight="1">
      <c r="A54" s="912"/>
      <c r="B54" s="1555"/>
      <c r="C54" s="1555"/>
      <c r="D54" s="288"/>
      <c r="K54" s="1079"/>
      <c r="L54" s="1555"/>
      <c r="M54" s="1555"/>
      <c r="N54" s="1079"/>
      <c r="O54" s="1079"/>
      <c r="P54" s="1079"/>
      <c r="Q54" s="1079"/>
      <c r="R54" s="1555"/>
      <c r="S54" s="1079"/>
      <c r="T54" s="1079"/>
      <c r="U54" s="481"/>
      <c r="V54" s="1079"/>
      <c r="W54" s="1079"/>
      <c r="X54" s="1079"/>
      <c r="Y54" s="1079"/>
      <c r="Z54" s="1079"/>
      <c r="AA54" s="1551"/>
      <c r="AB54" s="503"/>
      <c r="AC54" s="503"/>
      <c r="AD54" s="503"/>
      <c r="AE54" s="503"/>
      <c r="AF54" s="1560">
        <v>11</v>
      </c>
    </row>
    <row r="55" spans="1:32" s="2269" customFormat="1" ht="11.45" customHeight="1">
      <c r="A55" s="912"/>
      <c r="B55" s="1555"/>
      <c r="C55" s="1555"/>
      <c r="D55" s="288"/>
      <c r="K55" s="1079"/>
      <c r="L55" s="1555"/>
      <c r="M55" s="1555"/>
      <c r="N55" s="1079"/>
      <c r="O55" s="1079"/>
      <c r="P55" s="1079"/>
      <c r="Q55" s="1079"/>
      <c r="R55" s="1555"/>
      <c r="S55" s="1079"/>
      <c r="T55" s="1079"/>
      <c r="U55" s="481"/>
      <c r="V55" s="1079"/>
      <c r="W55" s="1079"/>
      <c r="X55" s="1079"/>
      <c r="Y55" s="1079"/>
      <c r="Z55" s="1079"/>
      <c r="AA55" s="1551"/>
      <c r="AB55" s="503"/>
      <c r="AC55" s="503"/>
      <c r="AD55" s="503"/>
      <c r="AE55" s="503"/>
      <c r="AF55" s="1560">
        <v>11</v>
      </c>
    </row>
    <row r="56" spans="1:32" s="2269" customFormat="1" ht="11.45" customHeight="1">
      <c r="A56" s="912"/>
      <c r="B56" s="1555"/>
      <c r="C56" s="1555"/>
      <c r="D56" s="288"/>
      <c r="K56" s="1079"/>
      <c r="L56" s="1555"/>
      <c r="M56" s="1555"/>
      <c r="N56" s="1079"/>
      <c r="O56" s="1079"/>
      <c r="P56" s="1079"/>
      <c r="Q56" s="1079"/>
      <c r="R56" s="1555"/>
      <c r="S56" s="1079"/>
      <c r="T56" s="1079"/>
      <c r="U56" s="481"/>
      <c r="V56" s="1079"/>
      <c r="W56" s="1079"/>
      <c r="X56" s="1079"/>
      <c r="Y56" s="1079"/>
      <c r="Z56" s="1079"/>
      <c r="AA56" s="1551"/>
      <c r="AB56" s="503"/>
      <c r="AC56" s="503"/>
      <c r="AD56" s="503"/>
      <c r="AE56" s="503"/>
      <c r="AF56" s="1560">
        <v>11</v>
      </c>
    </row>
    <row r="57" spans="1:32" s="2269" customFormat="1" ht="11.45" customHeight="1">
      <c r="A57" s="912"/>
      <c r="B57" s="1555"/>
      <c r="C57" s="1555"/>
      <c r="D57" s="288"/>
      <c r="K57" s="1079"/>
      <c r="L57" s="1555"/>
      <c r="M57" s="1555"/>
      <c r="N57" s="1079"/>
      <c r="O57" s="1079"/>
      <c r="P57" s="1079"/>
      <c r="Q57" s="1079"/>
      <c r="R57" s="1555"/>
      <c r="S57" s="1079"/>
      <c r="T57" s="1079"/>
      <c r="U57" s="481"/>
      <c r="V57" s="1079"/>
      <c r="W57" s="1079"/>
      <c r="X57" s="1079"/>
      <c r="Y57" s="1079"/>
      <c r="Z57" s="1079"/>
      <c r="AA57" s="1551"/>
      <c r="AB57" s="503"/>
      <c r="AC57" s="503"/>
      <c r="AD57" s="503"/>
      <c r="AE57" s="503"/>
      <c r="AF57" s="1560">
        <v>11</v>
      </c>
    </row>
    <row r="58" spans="1:32" s="2269" customFormat="1" ht="11.45" customHeight="1">
      <c r="A58" s="912"/>
      <c r="B58" s="1555"/>
      <c r="C58" s="1555"/>
      <c r="D58" s="288"/>
      <c r="K58" s="1079"/>
      <c r="L58" s="1555"/>
      <c r="M58" s="1555"/>
      <c r="N58" s="1079"/>
      <c r="O58" s="1079"/>
      <c r="P58" s="1079"/>
      <c r="Q58" s="1079"/>
      <c r="R58" s="1555"/>
      <c r="S58" s="1079"/>
      <c r="T58" s="1079"/>
      <c r="U58" s="481"/>
      <c r="V58" s="1079"/>
      <c r="W58" s="1079"/>
      <c r="X58" s="1079"/>
      <c r="Y58" s="1079"/>
      <c r="Z58" s="1079"/>
      <c r="AA58" s="1551"/>
      <c r="AB58" s="503"/>
      <c r="AC58" s="503"/>
      <c r="AD58" s="503"/>
      <c r="AE58" s="503"/>
      <c r="AF58" s="1560">
        <v>11</v>
      </c>
    </row>
    <row r="59" spans="1:32" s="2269" customFormat="1" ht="11.45" customHeight="1">
      <c r="A59" s="912"/>
      <c r="B59" s="1555"/>
      <c r="C59" s="1555"/>
      <c r="D59" s="288"/>
      <c r="K59" s="1079"/>
      <c r="L59" s="1555"/>
      <c r="M59" s="1555"/>
      <c r="N59" s="1079"/>
      <c r="O59" s="1079"/>
      <c r="P59" s="1079"/>
      <c r="Q59" s="1079"/>
      <c r="R59" s="1555"/>
      <c r="S59" s="1079"/>
      <c r="T59" s="1079"/>
      <c r="U59" s="481"/>
      <c r="V59" s="1079"/>
      <c r="W59" s="1079"/>
      <c r="X59" s="1079"/>
      <c r="Y59" s="1079"/>
      <c r="Z59" s="1079"/>
      <c r="AA59" s="1551"/>
      <c r="AB59" s="503"/>
      <c r="AC59" s="503"/>
      <c r="AD59" s="503"/>
      <c r="AE59" s="503"/>
      <c r="AF59" s="1560">
        <v>11</v>
      </c>
    </row>
    <row r="60" spans="1:32" s="2269" customFormat="1" ht="11.45" customHeight="1">
      <c r="A60" s="912"/>
      <c r="B60" s="1555"/>
      <c r="C60" s="1555"/>
      <c r="D60" s="288"/>
      <c r="K60" s="1079"/>
      <c r="L60" s="1555"/>
      <c r="M60" s="1555"/>
      <c r="N60" s="1079"/>
      <c r="O60" s="1079"/>
      <c r="P60" s="1079"/>
      <c r="Q60" s="1079"/>
      <c r="R60" s="1555"/>
      <c r="S60" s="1079"/>
      <c r="T60" s="1079"/>
      <c r="U60" s="481"/>
      <c r="V60" s="1079"/>
      <c r="W60" s="1079"/>
      <c r="X60" s="1079"/>
      <c r="Y60" s="1079"/>
      <c r="Z60" s="1079"/>
      <c r="AA60" s="1551"/>
      <c r="AB60" s="503"/>
      <c r="AC60" s="503"/>
      <c r="AD60" s="503"/>
      <c r="AE60" s="503"/>
      <c r="AF60" s="1560">
        <v>11</v>
      </c>
    </row>
    <row r="61" spans="1:32" s="2269" customFormat="1" ht="11.45" customHeight="1">
      <c r="A61" s="912"/>
      <c r="B61" s="1555"/>
      <c r="C61" s="1555"/>
      <c r="D61" s="288"/>
      <c r="K61" s="1079"/>
      <c r="L61" s="1555"/>
      <c r="M61" s="1555"/>
      <c r="N61" s="1079"/>
      <c r="O61" s="1079"/>
      <c r="P61" s="1079"/>
      <c r="Q61" s="1079"/>
      <c r="R61" s="1555"/>
      <c r="S61" s="1079"/>
      <c r="T61" s="1079"/>
      <c r="U61" s="481"/>
      <c r="V61" s="1079"/>
      <c r="W61" s="1079"/>
      <c r="X61" s="1079"/>
      <c r="Y61" s="1079"/>
      <c r="Z61" s="1079"/>
      <c r="AA61" s="1551"/>
      <c r="AB61" s="503"/>
      <c r="AC61" s="503"/>
      <c r="AD61" s="503"/>
      <c r="AE61" s="503"/>
      <c r="AF61" s="1560">
        <v>11</v>
      </c>
    </row>
    <row r="62" spans="1:32" s="2269" customFormat="1" ht="11.45" customHeight="1">
      <c r="A62" s="912"/>
      <c r="B62" s="1555"/>
      <c r="C62" s="1555"/>
      <c r="D62" s="288"/>
      <c r="K62" s="1079"/>
      <c r="L62" s="1555"/>
      <c r="M62" s="1555"/>
      <c r="N62" s="1079"/>
      <c r="O62" s="1079"/>
      <c r="P62" s="1079"/>
      <c r="Q62" s="1079"/>
      <c r="R62" s="1555"/>
      <c r="S62" s="1079"/>
      <c r="T62" s="1079"/>
      <c r="U62" s="481"/>
      <c r="V62" s="1079"/>
      <c r="W62" s="1079"/>
      <c r="X62" s="1079"/>
      <c r="Y62" s="1079"/>
      <c r="Z62" s="1079"/>
      <c r="AA62" s="1551"/>
      <c r="AB62" s="503"/>
      <c r="AC62" s="503"/>
      <c r="AD62" s="503"/>
      <c r="AE62" s="503"/>
      <c r="AF62" s="1560">
        <v>11</v>
      </c>
    </row>
    <row r="63" spans="1:32" s="2269" customFormat="1" ht="11.45" customHeight="1">
      <c r="A63" s="912"/>
      <c r="B63" s="1555"/>
      <c r="C63" s="1555"/>
      <c r="D63" s="288"/>
      <c r="K63" s="1079"/>
      <c r="L63" s="1555"/>
      <c r="M63" s="1555"/>
      <c r="N63" s="1079"/>
      <c r="O63" s="1079"/>
      <c r="P63" s="1079"/>
      <c r="Q63" s="1079"/>
      <c r="R63" s="1555"/>
      <c r="S63" s="1079"/>
      <c r="T63" s="1079"/>
      <c r="U63" s="481"/>
      <c r="V63" s="1079"/>
      <c r="W63" s="1079"/>
      <c r="X63" s="1079"/>
      <c r="Y63" s="1079"/>
      <c r="Z63" s="1079"/>
      <c r="AA63" s="1551"/>
      <c r="AB63" s="503"/>
      <c r="AC63" s="503"/>
      <c r="AD63" s="503"/>
      <c r="AE63" s="503"/>
      <c r="AF63" s="1560">
        <v>11</v>
      </c>
    </row>
    <row r="64" spans="1:32" s="2269" customFormat="1" ht="11.45" customHeight="1">
      <c r="A64" s="912"/>
      <c r="B64" s="1555"/>
      <c r="C64" s="1555"/>
      <c r="D64" s="288"/>
      <c r="K64" s="1079"/>
      <c r="L64" s="1555"/>
      <c r="M64" s="1555"/>
      <c r="N64" s="1079"/>
      <c r="O64" s="1079"/>
      <c r="P64" s="1079"/>
      <c r="Q64" s="1079"/>
      <c r="R64" s="1555"/>
      <c r="S64" s="1079"/>
      <c r="T64" s="1079"/>
      <c r="U64" s="481"/>
      <c r="V64" s="1079"/>
      <c r="W64" s="1079"/>
      <c r="X64" s="1079"/>
      <c r="Y64" s="1079"/>
      <c r="Z64" s="1079"/>
      <c r="AA64" s="1551"/>
      <c r="AB64" s="503"/>
      <c r="AC64" s="503"/>
      <c r="AD64" s="503"/>
      <c r="AE64" s="503"/>
      <c r="AF64" s="1560">
        <v>11</v>
      </c>
    </row>
    <row r="65" spans="1:32" s="2269" customFormat="1" ht="11.45" customHeight="1">
      <c r="A65" s="912"/>
      <c r="B65" s="1555"/>
      <c r="C65" s="1555"/>
      <c r="D65" s="288"/>
      <c r="K65" s="1079"/>
      <c r="L65" s="1555"/>
      <c r="M65" s="1555"/>
      <c r="N65" s="1079"/>
      <c r="O65" s="1079"/>
      <c r="P65" s="1079"/>
      <c r="Q65" s="1079"/>
      <c r="R65" s="1555"/>
      <c r="S65" s="1079"/>
      <c r="T65" s="1079"/>
      <c r="U65" s="481"/>
      <c r="V65" s="1079"/>
      <c r="W65" s="1079"/>
      <c r="X65" s="1079"/>
      <c r="Y65" s="1079"/>
      <c r="Z65" s="1079"/>
      <c r="AA65" s="1551"/>
      <c r="AB65" s="503"/>
      <c r="AC65" s="503"/>
      <c r="AD65" s="503"/>
      <c r="AE65" s="503"/>
      <c r="AF65" s="1560">
        <v>11</v>
      </c>
    </row>
    <row r="66" spans="1:32" s="2269" customFormat="1" ht="11.45" customHeight="1">
      <c r="A66" s="912"/>
      <c r="B66" s="1555"/>
      <c r="C66" s="1555"/>
      <c r="D66" s="288"/>
      <c r="K66" s="1079"/>
      <c r="L66" s="1555"/>
      <c r="M66" s="1555"/>
      <c r="N66" s="1079"/>
      <c r="O66" s="1079"/>
      <c r="P66" s="1079"/>
      <c r="Q66" s="1079"/>
      <c r="R66" s="1555"/>
      <c r="S66" s="1079"/>
      <c r="T66" s="1079"/>
      <c r="U66" s="481"/>
      <c r="V66" s="1079"/>
      <c r="W66" s="1079"/>
      <c r="X66" s="1079"/>
      <c r="Y66" s="1079"/>
      <c r="Z66" s="1079"/>
      <c r="AA66" s="1551"/>
      <c r="AB66" s="503"/>
      <c r="AC66" s="503"/>
      <c r="AD66" s="503"/>
      <c r="AE66" s="503"/>
      <c r="AF66" s="1560">
        <v>11</v>
      </c>
    </row>
    <row r="67" spans="1:32" s="2269" customFormat="1" ht="11.45" customHeight="1">
      <c r="A67" s="912"/>
      <c r="B67" s="1555"/>
      <c r="C67" s="1555"/>
      <c r="D67" s="288"/>
      <c r="K67" s="1079"/>
      <c r="L67" s="1555"/>
      <c r="M67" s="1555"/>
      <c r="N67" s="1079"/>
      <c r="O67" s="1079"/>
      <c r="P67" s="1079"/>
      <c r="Q67" s="1079"/>
      <c r="R67" s="1555"/>
      <c r="S67" s="1079"/>
      <c r="T67" s="1079"/>
      <c r="U67" s="481"/>
      <c r="V67" s="1079"/>
      <c r="W67" s="1079"/>
      <c r="X67" s="1079"/>
      <c r="Y67" s="1079"/>
      <c r="Z67" s="1079"/>
      <c r="AA67" s="1551"/>
      <c r="AB67" s="503"/>
      <c r="AC67" s="503"/>
      <c r="AD67" s="503"/>
      <c r="AE67" s="503"/>
      <c r="AF67" s="1560">
        <v>11</v>
      </c>
    </row>
    <row r="68" spans="1:32" s="2269" customFormat="1" ht="11.45" customHeight="1">
      <c r="A68" s="912"/>
      <c r="B68" s="1555"/>
      <c r="C68" s="1555"/>
      <c r="D68" s="288"/>
      <c r="K68" s="1079"/>
      <c r="L68" s="1555"/>
      <c r="M68" s="1555"/>
      <c r="N68" s="1079"/>
      <c r="O68" s="1079"/>
      <c r="P68" s="1079"/>
      <c r="Q68" s="1079"/>
      <c r="R68" s="1555"/>
      <c r="S68" s="1079"/>
      <c r="T68" s="1079"/>
      <c r="U68" s="481"/>
      <c r="V68" s="1079"/>
      <c r="W68" s="1079"/>
      <c r="X68" s="1079"/>
      <c r="Y68" s="1079"/>
      <c r="Z68" s="1079"/>
      <c r="AA68" s="1551"/>
      <c r="AB68" s="503"/>
      <c r="AC68" s="503"/>
      <c r="AD68" s="503"/>
      <c r="AE68" s="503"/>
      <c r="AF68" s="1560">
        <v>11</v>
      </c>
    </row>
    <row r="69" spans="1:32" s="2269" customFormat="1" ht="11.45" customHeight="1">
      <c r="A69" s="912"/>
      <c r="B69" s="1555"/>
      <c r="C69" s="1555"/>
      <c r="D69" s="288"/>
      <c r="K69" s="1079"/>
      <c r="L69" s="1555"/>
      <c r="M69" s="1555"/>
      <c r="N69" s="1079"/>
      <c r="O69" s="1079"/>
      <c r="P69" s="1079"/>
      <c r="Q69" s="1079"/>
      <c r="R69" s="1555"/>
      <c r="S69" s="1079"/>
      <c r="T69" s="1079"/>
      <c r="U69" s="481"/>
      <c r="V69" s="1079"/>
      <c r="W69" s="1079"/>
      <c r="X69" s="1079"/>
      <c r="Y69" s="1079"/>
      <c r="Z69" s="1079"/>
      <c r="AA69" s="1551"/>
      <c r="AB69" s="503"/>
      <c r="AC69" s="503"/>
      <c r="AD69" s="503"/>
      <c r="AE69" s="503"/>
      <c r="AF69" s="1560">
        <v>11</v>
      </c>
    </row>
    <row r="70" spans="1:32" s="2269" customFormat="1" ht="11.45" customHeight="1">
      <c r="A70" s="912"/>
      <c r="B70" s="1555"/>
      <c r="C70" s="1555"/>
      <c r="D70" s="288"/>
      <c r="K70" s="1079"/>
      <c r="L70" s="1555"/>
      <c r="M70" s="1555"/>
      <c r="N70" s="1079"/>
      <c r="O70" s="1079"/>
      <c r="P70" s="1079"/>
      <c r="Q70" s="1079"/>
      <c r="R70" s="1555"/>
      <c r="S70" s="1079"/>
      <c r="T70" s="1079"/>
      <c r="U70" s="481"/>
      <c r="V70" s="1079"/>
      <c r="W70" s="1079"/>
      <c r="X70" s="1079"/>
      <c r="Y70" s="1079"/>
      <c r="Z70" s="1079"/>
      <c r="AA70" s="1551"/>
      <c r="AB70" s="503"/>
      <c r="AC70" s="503"/>
      <c r="AD70" s="503"/>
      <c r="AE70" s="503"/>
      <c r="AF70" s="1560">
        <v>11</v>
      </c>
    </row>
    <row r="71" spans="1:32" s="2269" customFormat="1" ht="11.45" customHeight="1">
      <c r="A71" s="912"/>
      <c r="B71" s="1555"/>
      <c r="C71" s="1555"/>
      <c r="D71" s="288"/>
      <c r="K71" s="1079"/>
      <c r="L71" s="1555"/>
      <c r="M71" s="1555"/>
      <c r="N71" s="1079"/>
      <c r="O71" s="1079"/>
      <c r="P71" s="1079"/>
      <c r="Q71" s="1079"/>
      <c r="R71" s="1555"/>
      <c r="S71" s="1079"/>
      <c r="T71" s="1079"/>
      <c r="U71" s="481"/>
      <c r="V71" s="1079"/>
      <c r="W71" s="1079"/>
      <c r="X71" s="1079"/>
      <c r="Y71" s="1079"/>
      <c r="Z71" s="1079"/>
      <c r="AA71" s="1551"/>
      <c r="AB71" s="503"/>
      <c r="AC71" s="503"/>
      <c r="AD71" s="503"/>
      <c r="AE71" s="503"/>
      <c r="AF71" s="1560">
        <v>11</v>
      </c>
    </row>
    <row r="72" spans="1:32" s="2269" customFormat="1" ht="11.45" customHeight="1">
      <c r="A72" s="912"/>
      <c r="B72" s="1555"/>
      <c r="C72" s="1555"/>
      <c r="D72" s="288"/>
      <c r="K72" s="1079"/>
      <c r="L72" s="1555"/>
      <c r="M72" s="1555"/>
      <c r="N72" s="1079"/>
      <c r="O72" s="1079"/>
      <c r="P72" s="1079"/>
      <c r="Q72" s="1079"/>
      <c r="R72" s="1555"/>
      <c r="S72" s="1079"/>
      <c r="T72" s="1079"/>
      <c r="U72" s="481"/>
      <c r="V72" s="1079"/>
      <c r="W72" s="1079"/>
      <c r="X72" s="1079"/>
      <c r="Y72" s="1079"/>
      <c r="Z72" s="1079"/>
      <c r="AA72" s="1551"/>
      <c r="AB72" s="503"/>
      <c r="AC72" s="503"/>
      <c r="AD72" s="503"/>
      <c r="AE72" s="503"/>
      <c r="AF72" s="1560">
        <v>11</v>
      </c>
    </row>
    <row r="73" spans="1:32" s="2269" customFormat="1" ht="11.45" customHeight="1">
      <c r="A73" s="912"/>
      <c r="B73" s="1555"/>
      <c r="C73" s="1555"/>
      <c r="D73" s="288"/>
      <c r="K73" s="1079"/>
      <c r="L73" s="1555"/>
      <c r="M73" s="1555"/>
      <c r="N73" s="1079"/>
      <c r="O73" s="1079"/>
      <c r="P73" s="1079"/>
      <c r="Q73" s="1079"/>
      <c r="R73" s="1555"/>
      <c r="S73" s="1079"/>
      <c r="T73" s="1079"/>
      <c r="U73" s="481"/>
      <c r="V73" s="1079"/>
      <c r="W73" s="1079"/>
      <c r="X73" s="1079"/>
      <c r="Y73" s="1079"/>
      <c r="Z73" s="1079"/>
      <c r="AA73" s="1551"/>
      <c r="AB73" s="503"/>
      <c r="AC73" s="503"/>
      <c r="AD73" s="503"/>
      <c r="AE73" s="503"/>
      <c r="AF73" s="1560">
        <v>11</v>
      </c>
    </row>
    <row r="74" spans="1:32" s="2269" customFormat="1" ht="11.45" customHeight="1">
      <c r="A74" s="912"/>
      <c r="B74" s="1555"/>
      <c r="C74" s="1555"/>
      <c r="D74" s="288"/>
      <c r="K74" s="1079"/>
      <c r="L74" s="1555"/>
      <c r="M74" s="1555"/>
      <c r="N74" s="1079"/>
      <c r="O74" s="1079"/>
      <c r="P74" s="1079"/>
      <c r="Q74" s="1079"/>
      <c r="R74" s="1555"/>
      <c r="S74" s="1079"/>
      <c r="T74" s="1079"/>
      <c r="U74" s="481"/>
      <c r="V74" s="1079"/>
      <c r="W74" s="1079"/>
      <c r="X74" s="1079"/>
      <c r="Y74" s="1079"/>
      <c r="Z74" s="1079"/>
      <c r="AA74" s="1551"/>
      <c r="AB74" s="503"/>
      <c r="AC74" s="503"/>
      <c r="AD74" s="503"/>
      <c r="AE74" s="503"/>
      <c r="AF74" s="1560">
        <v>11</v>
      </c>
    </row>
    <row r="75" spans="1:32" s="2269" customFormat="1" ht="11.45" customHeight="1">
      <c r="A75" s="912"/>
      <c r="B75" s="1555"/>
      <c r="C75" s="1555"/>
      <c r="D75" s="288"/>
      <c r="K75" s="1079"/>
      <c r="L75" s="1555"/>
      <c r="M75" s="1555"/>
      <c r="N75" s="1079"/>
      <c r="O75" s="1079"/>
      <c r="P75" s="1079"/>
      <c r="Q75" s="1079"/>
      <c r="R75" s="1555"/>
      <c r="S75" s="1079"/>
      <c r="T75" s="1079"/>
      <c r="U75" s="481"/>
      <c r="V75" s="1079"/>
      <c r="W75" s="1079"/>
      <c r="X75" s="1079"/>
      <c r="Y75" s="1079"/>
      <c r="Z75" s="1079"/>
      <c r="AA75" s="1551"/>
      <c r="AB75" s="503"/>
      <c r="AC75" s="503"/>
      <c r="AD75" s="503"/>
      <c r="AE75" s="503"/>
      <c r="AF75" s="1560">
        <v>11</v>
      </c>
    </row>
    <row r="76" spans="1:32" s="2269" customFormat="1" ht="11.45" customHeight="1">
      <c r="A76" s="912"/>
      <c r="B76" s="1555"/>
      <c r="C76" s="1555"/>
      <c r="D76" s="288"/>
      <c r="K76" s="1079"/>
      <c r="L76" s="1555"/>
      <c r="M76" s="1555"/>
      <c r="N76" s="1079"/>
      <c r="O76" s="1079"/>
      <c r="P76" s="1079"/>
      <c r="Q76" s="1079"/>
      <c r="R76" s="1555"/>
      <c r="S76" s="1079"/>
      <c r="T76" s="1079"/>
      <c r="U76" s="481"/>
      <c r="V76" s="1079"/>
      <c r="W76" s="1079"/>
      <c r="X76" s="1079"/>
      <c r="Y76" s="1079"/>
      <c r="Z76" s="1079"/>
      <c r="AA76" s="1551"/>
      <c r="AB76" s="503"/>
      <c r="AC76" s="503"/>
      <c r="AD76" s="503"/>
      <c r="AE76" s="503"/>
      <c r="AF76" s="1560">
        <v>11</v>
      </c>
    </row>
    <row r="77" spans="1:32" s="2269" customFormat="1" ht="11.45" customHeight="1">
      <c r="A77" s="912"/>
      <c r="B77" s="1555"/>
      <c r="C77" s="1555"/>
      <c r="D77" s="288"/>
      <c r="K77" s="1079"/>
      <c r="L77" s="1555"/>
      <c r="M77" s="1555"/>
      <c r="N77" s="1079"/>
      <c r="O77" s="1079"/>
      <c r="P77" s="1079"/>
      <c r="Q77" s="1079"/>
      <c r="R77" s="1555"/>
      <c r="S77" s="1079"/>
      <c r="T77" s="1079"/>
      <c r="U77" s="481"/>
      <c r="V77" s="1079"/>
      <c r="W77" s="1079"/>
      <c r="X77" s="1079"/>
      <c r="Y77" s="1079"/>
      <c r="Z77" s="1079"/>
      <c r="AA77" s="1551"/>
      <c r="AB77" s="503"/>
      <c r="AC77" s="503"/>
      <c r="AD77" s="503"/>
      <c r="AE77" s="503"/>
      <c r="AF77" s="1560">
        <v>11</v>
      </c>
    </row>
    <row r="78" spans="1:32" s="2269" customFormat="1" ht="11.45" customHeight="1">
      <c r="A78" s="912"/>
      <c r="B78" s="1555"/>
      <c r="C78" s="1555"/>
      <c r="D78" s="288"/>
      <c r="K78" s="1079"/>
      <c r="L78" s="1555"/>
      <c r="M78" s="1555"/>
      <c r="N78" s="1079"/>
      <c r="O78" s="1079"/>
      <c r="P78" s="1079"/>
      <c r="Q78" s="1079"/>
      <c r="R78" s="1555"/>
      <c r="S78" s="1079"/>
      <c r="T78" s="1079"/>
      <c r="U78" s="481"/>
      <c r="V78" s="1079"/>
      <c r="W78" s="1079"/>
      <c r="X78" s="1079"/>
      <c r="Y78" s="1079"/>
      <c r="Z78" s="1079"/>
      <c r="AA78" s="1551"/>
      <c r="AB78" s="503"/>
      <c r="AC78" s="503"/>
      <c r="AD78" s="503"/>
      <c r="AE78" s="503"/>
      <c r="AF78" s="1560">
        <v>11</v>
      </c>
    </row>
    <row r="79" spans="1:32" s="2269" customFormat="1" ht="11.45" customHeight="1">
      <c r="A79" s="912"/>
      <c r="B79" s="1555"/>
      <c r="C79" s="1555"/>
      <c r="D79" s="288"/>
      <c r="K79" s="1079"/>
      <c r="L79" s="1555"/>
      <c r="M79" s="1555"/>
      <c r="N79" s="1079"/>
      <c r="O79" s="1079"/>
      <c r="P79" s="1079"/>
      <c r="Q79" s="1079"/>
      <c r="R79" s="1555"/>
      <c r="S79" s="1079"/>
      <c r="T79" s="1079"/>
      <c r="U79" s="481"/>
      <c r="V79" s="1079"/>
      <c r="W79" s="1079"/>
      <c r="X79" s="1079"/>
      <c r="Y79" s="1079"/>
      <c r="Z79" s="1079"/>
      <c r="AA79" s="1551"/>
      <c r="AB79" s="503"/>
      <c r="AC79" s="503"/>
      <c r="AD79" s="503"/>
      <c r="AE79" s="503"/>
      <c r="AF79" s="1560">
        <v>11</v>
      </c>
    </row>
    <row r="80" spans="1:32" s="2269" customFormat="1" ht="11.45" customHeight="1">
      <c r="A80" s="912"/>
      <c r="B80" s="1555"/>
      <c r="C80" s="1555"/>
      <c r="D80" s="288"/>
      <c r="K80" s="1079"/>
      <c r="L80" s="1555"/>
      <c r="M80" s="1555"/>
      <c r="N80" s="1079"/>
      <c r="O80" s="1079"/>
      <c r="P80" s="1079"/>
      <c r="Q80" s="1079"/>
      <c r="R80" s="1555"/>
      <c r="S80" s="1079"/>
      <c r="T80" s="1079"/>
      <c r="U80" s="481"/>
      <c r="V80" s="1079"/>
      <c r="W80" s="1079"/>
      <c r="X80" s="1079"/>
      <c r="Y80" s="1079"/>
      <c r="Z80" s="1079"/>
      <c r="AA80" s="1551"/>
      <c r="AB80" s="503"/>
      <c r="AC80" s="503"/>
      <c r="AD80" s="503"/>
      <c r="AE80" s="503"/>
      <c r="AF80" s="1560">
        <v>11</v>
      </c>
    </row>
    <row r="81" spans="1:32" s="2269" customFormat="1" ht="11.45" customHeight="1">
      <c r="A81" s="912"/>
      <c r="B81" s="1555"/>
      <c r="C81" s="1555"/>
      <c r="D81" s="288"/>
      <c r="K81" s="1079"/>
      <c r="L81" s="1555"/>
      <c r="M81" s="1555"/>
      <c r="N81" s="1079"/>
      <c r="O81" s="1079"/>
      <c r="P81" s="1079"/>
      <c r="Q81" s="1079"/>
      <c r="R81" s="1555"/>
      <c r="S81" s="1079"/>
      <c r="T81" s="1079"/>
      <c r="U81" s="481"/>
      <c r="V81" s="1079"/>
      <c r="W81" s="1079"/>
      <c r="X81" s="1079"/>
      <c r="Y81" s="1079"/>
      <c r="Z81" s="1079"/>
      <c r="AA81" s="1551"/>
      <c r="AB81" s="503"/>
      <c r="AC81" s="503"/>
      <c r="AD81" s="503"/>
      <c r="AE81" s="503"/>
      <c r="AF81" s="1560">
        <v>11</v>
      </c>
    </row>
    <row r="82" spans="1:32" s="2269" customFormat="1" ht="11.45" customHeight="1">
      <c r="A82" s="912"/>
      <c r="B82" s="1555"/>
      <c r="C82" s="1555"/>
      <c r="D82" s="288"/>
      <c r="K82" s="1079"/>
      <c r="L82" s="1555"/>
      <c r="M82" s="1555"/>
      <c r="N82" s="1079"/>
      <c r="O82" s="1079"/>
      <c r="P82" s="1079"/>
      <c r="Q82" s="1079"/>
      <c r="R82" s="1555"/>
      <c r="S82" s="1079"/>
      <c r="T82" s="1079"/>
      <c r="U82" s="481"/>
      <c r="V82" s="1079"/>
      <c r="W82" s="1079"/>
      <c r="X82" s="1079"/>
      <c r="Y82" s="1079"/>
      <c r="Z82" s="1079"/>
      <c r="AA82" s="1551"/>
      <c r="AB82" s="503"/>
      <c r="AC82" s="503"/>
      <c r="AD82" s="503"/>
      <c r="AE82" s="503"/>
      <c r="AF82" s="1560">
        <v>11</v>
      </c>
    </row>
    <row r="83" spans="1:32" s="2269" customFormat="1" ht="11.45" customHeight="1">
      <c r="A83" s="912"/>
      <c r="B83" s="1555"/>
      <c r="C83" s="1555"/>
      <c r="D83" s="288"/>
      <c r="K83" s="1079"/>
      <c r="L83" s="1555"/>
      <c r="M83" s="1555"/>
      <c r="N83" s="1079"/>
      <c r="O83" s="1079"/>
      <c r="P83" s="1079"/>
      <c r="Q83" s="1079"/>
      <c r="R83" s="1555"/>
      <c r="S83" s="1079"/>
      <c r="T83" s="1079"/>
      <c r="U83" s="481"/>
      <c r="V83" s="1079"/>
      <c r="W83" s="1079"/>
      <c r="X83" s="1079"/>
      <c r="Y83" s="1079"/>
      <c r="Z83" s="1079"/>
      <c r="AA83" s="1551"/>
      <c r="AB83" s="503"/>
      <c r="AC83" s="503"/>
      <c r="AD83" s="503"/>
      <c r="AE83" s="503"/>
      <c r="AF83" s="1560">
        <v>11</v>
      </c>
    </row>
    <row r="84" spans="1:32" s="2269" customFormat="1" ht="11.45" customHeight="1">
      <c r="A84" s="912"/>
      <c r="B84" s="1555"/>
      <c r="C84" s="1555"/>
      <c r="D84" s="288"/>
      <c r="K84" s="1079"/>
      <c r="L84" s="1555"/>
      <c r="M84" s="1555"/>
      <c r="N84" s="1079"/>
      <c r="O84" s="1079"/>
      <c r="P84" s="1079"/>
      <c r="Q84" s="1079"/>
      <c r="R84" s="1555"/>
      <c r="S84" s="1079"/>
      <c r="T84" s="1079"/>
      <c r="U84" s="481"/>
      <c r="V84" s="1079"/>
      <c r="W84" s="1079"/>
      <c r="X84" s="1079"/>
      <c r="Y84" s="1079"/>
      <c r="Z84" s="1079"/>
      <c r="AA84" s="1551"/>
      <c r="AB84" s="503"/>
      <c r="AC84" s="503"/>
      <c r="AD84" s="503"/>
      <c r="AE84" s="503"/>
      <c r="AF84" s="1560">
        <v>11</v>
      </c>
    </row>
    <row r="85" spans="1:32" s="2269" customFormat="1" ht="11.45" customHeight="1">
      <c r="A85" s="912"/>
      <c r="B85" s="1555"/>
      <c r="C85" s="1555"/>
      <c r="D85" s="288"/>
      <c r="K85" s="1079"/>
      <c r="L85" s="1555"/>
      <c r="M85" s="1555"/>
      <c r="N85" s="1079"/>
      <c r="O85" s="1079"/>
      <c r="P85" s="1079"/>
      <c r="Q85" s="1079"/>
      <c r="R85" s="1555"/>
      <c r="S85" s="1079"/>
      <c r="T85" s="1079"/>
      <c r="U85" s="481"/>
      <c r="V85" s="1079"/>
      <c r="W85" s="1079"/>
      <c r="X85" s="1079"/>
      <c r="Y85" s="1079"/>
      <c r="Z85" s="1079"/>
      <c r="AA85" s="1551"/>
      <c r="AB85" s="503"/>
      <c r="AC85" s="503"/>
      <c r="AD85" s="503"/>
      <c r="AE85" s="503"/>
      <c r="AF85" s="1560">
        <v>11</v>
      </c>
    </row>
    <row r="86" spans="1:32" s="2269" customFormat="1" ht="11.45" customHeight="1">
      <c r="A86" s="912"/>
      <c r="B86" s="1555"/>
      <c r="C86" s="1555"/>
      <c r="D86" s="288"/>
      <c r="K86" s="1079"/>
      <c r="L86" s="1555"/>
      <c r="M86" s="1555"/>
      <c r="N86" s="1079"/>
      <c r="O86" s="1079"/>
      <c r="P86" s="1079"/>
      <c r="Q86" s="1079"/>
      <c r="R86" s="1555"/>
      <c r="S86" s="1079"/>
      <c r="T86" s="1079"/>
      <c r="U86" s="481"/>
      <c r="V86" s="1079"/>
      <c r="W86" s="1079"/>
      <c r="X86" s="1079"/>
      <c r="Y86" s="1079"/>
      <c r="Z86" s="1079"/>
      <c r="AA86" s="1551"/>
      <c r="AB86" s="503"/>
      <c r="AC86" s="503"/>
      <c r="AD86" s="503"/>
      <c r="AE86" s="503"/>
      <c r="AF86" s="1560">
        <v>11</v>
      </c>
    </row>
    <row r="87" spans="1:32" s="2269" customFormat="1" ht="11.45" customHeight="1">
      <c r="A87" s="912"/>
      <c r="B87" s="1555"/>
      <c r="C87" s="1555"/>
      <c r="D87" s="288"/>
      <c r="K87" s="1079"/>
      <c r="L87" s="1555"/>
      <c r="M87" s="1555"/>
      <c r="N87" s="1079"/>
      <c r="O87" s="1079"/>
      <c r="P87" s="1079"/>
      <c r="Q87" s="1079"/>
      <c r="R87" s="1555"/>
      <c r="S87" s="1079"/>
      <c r="T87" s="1079"/>
      <c r="U87" s="481"/>
      <c r="V87" s="1079"/>
      <c r="W87" s="1079"/>
      <c r="X87" s="1079"/>
      <c r="Y87" s="1079"/>
      <c r="Z87" s="1079"/>
      <c r="AA87" s="1551"/>
      <c r="AB87" s="503"/>
      <c r="AC87" s="503"/>
      <c r="AD87" s="503"/>
      <c r="AE87" s="503"/>
      <c r="AF87" s="1560">
        <v>11</v>
      </c>
    </row>
    <row r="88" spans="1:32" s="2269" customFormat="1" ht="11.45" customHeight="1">
      <c r="A88" s="912"/>
      <c r="B88" s="1555"/>
      <c r="C88" s="1555"/>
      <c r="D88" s="288"/>
      <c r="K88" s="1079"/>
      <c r="L88" s="1555"/>
      <c r="M88" s="1555"/>
      <c r="N88" s="1079"/>
      <c r="O88" s="1079"/>
      <c r="P88" s="1079"/>
      <c r="Q88" s="1079"/>
      <c r="R88" s="1555"/>
      <c r="S88" s="1079"/>
      <c r="T88" s="1079"/>
      <c r="U88" s="481"/>
      <c r="V88" s="1079"/>
      <c r="W88" s="1079"/>
      <c r="X88" s="1079"/>
      <c r="Y88" s="1079"/>
      <c r="Z88" s="1079"/>
      <c r="AA88" s="1551"/>
      <c r="AB88" s="503"/>
      <c r="AC88" s="503"/>
      <c r="AD88" s="503"/>
      <c r="AE88" s="503"/>
      <c r="AF88" s="1560">
        <v>11</v>
      </c>
    </row>
    <row r="89" spans="1:32" s="2269" customFormat="1" ht="11.45" customHeight="1">
      <c r="A89" s="912"/>
      <c r="B89" s="1555"/>
      <c r="C89" s="1555"/>
      <c r="D89" s="288"/>
      <c r="K89" s="1079"/>
      <c r="L89" s="1555"/>
      <c r="M89" s="1555"/>
      <c r="N89" s="1079"/>
      <c r="O89" s="1079"/>
      <c r="P89" s="1079"/>
      <c r="Q89" s="1079"/>
      <c r="R89" s="1555"/>
      <c r="S89" s="1079"/>
      <c r="T89" s="1079"/>
      <c r="U89" s="481"/>
      <c r="V89" s="1079"/>
      <c r="W89" s="1079"/>
      <c r="X89" s="1079"/>
      <c r="Y89" s="1079"/>
      <c r="Z89" s="1079"/>
      <c r="AA89" s="1551"/>
      <c r="AB89" s="503"/>
      <c r="AC89" s="503"/>
      <c r="AD89" s="503"/>
      <c r="AE89" s="503"/>
      <c r="AF89" s="1560">
        <v>11</v>
      </c>
    </row>
    <row r="90" spans="1:32" s="2269" customFormat="1" ht="11.45" customHeight="1">
      <c r="A90" s="912"/>
      <c r="B90" s="1555"/>
      <c r="C90" s="1555"/>
      <c r="D90" s="288"/>
      <c r="K90" s="1079"/>
      <c r="L90" s="1555"/>
      <c r="M90" s="1555"/>
      <c r="N90" s="1079"/>
      <c r="O90" s="1079"/>
      <c r="P90" s="1079"/>
      <c r="Q90" s="1079"/>
      <c r="R90" s="1555"/>
      <c r="S90" s="1079"/>
      <c r="T90" s="1079"/>
      <c r="U90" s="481"/>
      <c r="V90" s="1079"/>
      <c r="W90" s="1079"/>
      <c r="X90" s="1079"/>
      <c r="Y90" s="1079"/>
      <c r="Z90" s="1079"/>
      <c r="AA90" s="1551"/>
      <c r="AB90" s="503"/>
      <c r="AC90" s="503"/>
      <c r="AD90" s="503"/>
      <c r="AE90" s="503"/>
      <c r="AF90" s="1560">
        <v>11</v>
      </c>
    </row>
    <row r="91" spans="1:32" s="2269" customFormat="1" ht="11.45" customHeight="1">
      <c r="A91" s="912"/>
      <c r="B91" s="1555"/>
      <c r="C91" s="1555"/>
      <c r="D91" s="288"/>
      <c r="K91" s="1079"/>
      <c r="L91" s="1555"/>
      <c r="M91" s="1555"/>
      <c r="N91" s="1079"/>
      <c r="O91" s="1079"/>
      <c r="P91" s="1079"/>
      <c r="Q91" s="1079"/>
      <c r="R91" s="1555"/>
      <c r="S91" s="1079"/>
      <c r="T91" s="1079"/>
      <c r="U91" s="481"/>
      <c r="V91" s="1079"/>
      <c r="W91" s="1079"/>
      <c r="X91" s="1079"/>
      <c r="Y91" s="1079"/>
      <c r="Z91" s="1079"/>
      <c r="AA91" s="1551"/>
      <c r="AB91" s="503"/>
      <c r="AC91" s="503"/>
      <c r="AD91" s="503"/>
      <c r="AE91" s="503"/>
      <c r="AF91" s="1560">
        <v>11</v>
      </c>
    </row>
    <row r="92" spans="1:32" s="2269" customFormat="1" ht="11.45" customHeight="1">
      <c r="A92" s="912"/>
      <c r="B92" s="1555"/>
      <c r="C92" s="1555"/>
      <c r="D92" s="288"/>
      <c r="K92" s="1079"/>
      <c r="L92" s="1555"/>
      <c r="M92" s="1555"/>
      <c r="N92" s="1079"/>
      <c r="O92" s="1079"/>
      <c r="P92" s="1079"/>
      <c r="Q92" s="1079"/>
      <c r="R92" s="1555"/>
      <c r="S92" s="1079"/>
      <c r="T92" s="1079"/>
      <c r="U92" s="481"/>
      <c r="V92" s="1079"/>
      <c r="W92" s="1079"/>
      <c r="X92" s="1079"/>
      <c r="Y92" s="1079"/>
      <c r="Z92" s="1079"/>
      <c r="AA92" s="1551"/>
      <c r="AB92" s="503"/>
      <c r="AC92" s="503"/>
      <c r="AD92" s="503"/>
      <c r="AE92" s="503"/>
      <c r="AF92" s="1560">
        <v>11</v>
      </c>
    </row>
    <row r="93" spans="1:32" s="2269" customFormat="1" ht="11.45" customHeight="1">
      <c r="A93" s="912"/>
      <c r="B93" s="1555"/>
      <c r="C93" s="1555"/>
      <c r="D93" s="288"/>
      <c r="K93" s="1079"/>
      <c r="L93" s="1555"/>
      <c r="M93" s="1555"/>
      <c r="N93" s="1079"/>
      <c r="O93" s="1079"/>
      <c r="P93" s="1079"/>
      <c r="Q93" s="1079"/>
      <c r="R93" s="1555"/>
      <c r="S93" s="1079"/>
      <c r="T93" s="1079"/>
      <c r="U93" s="481"/>
      <c r="V93" s="1079"/>
      <c r="W93" s="1079"/>
      <c r="X93" s="1079"/>
      <c r="Y93" s="1079"/>
      <c r="Z93" s="1079"/>
      <c r="AA93" s="1551"/>
      <c r="AB93" s="503"/>
      <c r="AC93" s="503"/>
      <c r="AD93" s="503"/>
      <c r="AE93" s="503"/>
      <c r="AF93" s="1560">
        <v>11</v>
      </c>
    </row>
    <row r="94" spans="1:32" s="2269" customFormat="1" ht="11.45" customHeight="1">
      <c r="A94" s="912"/>
      <c r="B94" s="1555"/>
      <c r="C94" s="1555"/>
      <c r="D94" s="288"/>
      <c r="K94" s="1079"/>
      <c r="L94" s="1555"/>
      <c r="M94" s="1555"/>
      <c r="N94" s="1079"/>
      <c r="O94" s="1079"/>
      <c r="P94" s="1079"/>
      <c r="Q94" s="1079"/>
      <c r="R94" s="1555"/>
      <c r="S94" s="1079"/>
      <c r="T94" s="1079"/>
      <c r="U94" s="481"/>
      <c r="V94" s="1079"/>
      <c r="W94" s="1079"/>
      <c r="X94" s="1079"/>
      <c r="Y94" s="1079"/>
      <c r="Z94" s="1079"/>
      <c r="AA94" s="1551"/>
      <c r="AB94" s="503"/>
      <c r="AC94" s="503"/>
      <c r="AD94" s="503"/>
      <c r="AE94" s="503"/>
      <c r="AF94" s="1560">
        <v>11</v>
      </c>
    </row>
    <row r="95" spans="1:32" s="2269" customFormat="1" ht="11.45" customHeight="1">
      <c r="A95" s="912"/>
      <c r="B95" s="1555"/>
      <c r="C95" s="1555"/>
      <c r="D95" s="288"/>
      <c r="K95" s="1079"/>
      <c r="L95" s="1555"/>
      <c r="M95" s="1555"/>
      <c r="N95" s="1079"/>
      <c r="O95" s="1079"/>
      <c r="P95" s="1079"/>
      <c r="Q95" s="1079"/>
      <c r="R95" s="1555"/>
      <c r="S95" s="1079"/>
      <c r="T95" s="1079"/>
      <c r="U95" s="481"/>
      <c r="V95" s="1079"/>
      <c r="W95" s="1079"/>
      <c r="X95" s="1079"/>
      <c r="Y95" s="1079"/>
      <c r="Z95" s="1079"/>
      <c r="AA95" s="1551"/>
      <c r="AB95" s="503"/>
      <c r="AC95" s="503"/>
      <c r="AD95" s="503"/>
      <c r="AE95" s="503"/>
      <c r="AF95" s="1560">
        <v>11</v>
      </c>
    </row>
    <row r="96" spans="1:32" s="2269" customFormat="1" ht="11.45" customHeight="1">
      <c r="A96" s="912"/>
      <c r="B96" s="1555"/>
      <c r="C96" s="1555"/>
      <c r="D96" s="288"/>
      <c r="K96" s="1079"/>
      <c r="L96" s="1555"/>
      <c r="M96" s="1555"/>
      <c r="N96" s="1079"/>
      <c r="O96" s="1079"/>
      <c r="P96" s="1079"/>
      <c r="Q96" s="1079"/>
      <c r="R96" s="1555"/>
      <c r="S96" s="1079"/>
      <c r="T96" s="1079"/>
      <c r="U96" s="481"/>
      <c r="V96" s="1079"/>
      <c r="W96" s="1079"/>
      <c r="X96" s="1079"/>
      <c r="Y96" s="1079"/>
      <c r="Z96" s="1079"/>
      <c r="AA96" s="1551"/>
      <c r="AB96" s="503"/>
      <c r="AC96" s="503"/>
      <c r="AD96" s="503"/>
      <c r="AE96" s="503"/>
      <c r="AF96" s="1560">
        <v>11</v>
      </c>
    </row>
    <row r="97" spans="1:32" s="2269" customFormat="1" ht="11.45" customHeight="1">
      <c r="A97" s="912"/>
      <c r="B97" s="1555"/>
      <c r="C97" s="1555"/>
      <c r="D97" s="288"/>
      <c r="K97" s="1079"/>
      <c r="L97" s="1555"/>
      <c r="M97" s="1555"/>
      <c r="N97" s="1079"/>
      <c r="O97" s="1079"/>
      <c r="P97" s="1079"/>
      <c r="Q97" s="1079"/>
      <c r="R97" s="1555"/>
      <c r="S97" s="1079"/>
      <c r="T97" s="1079"/>
      <c r="U97" s="481"/>
      <c r="V97" s="1079"/>
      <c r="W97" s="1079"/>
      <c r="X97" s="1079"/>
      <c r="Y97" s="1079"/>
      <c r="Z97" s="1079"/>
      <c r="AA97" s="1551"/>
      <c r="AB97" s="503"/>
      <c r="AC97" s="503"/>
      <c r="AD97" s="503"/>
      <c r="AE97" s="503"/>
      <c r="AF97" s="1560">
        <v>11</v>
      </c>
    </row>
    <row r="98" spans="1:32" s="2269" customFormat="1" ht="11.45" customHeight="1">
      <c r="A98" s="912"/>
      <c r="B98" s="1555"/>
      <c r="C98" s="1555"/>
      <c r="D98" s="288"/>
      <c r="K98" s="1079"/>
      <c r="L98" s="1555"/>
      <c r="M98" s="1555"/>
      <c r="N98" s="1079"/>
      <c r="O98" s="1079"/>
      <c r="P98" s="1079"/>
      <c r="Q98" s="1079"/>
      <c r="R98" s="1555"/>
      <c r="S98" s="1079"/>
      <c r="T98" s="1079"/>
      <c r="U98" s="481"/>
      <c r="V98" s="1079"/>
      <c r="W98" s="1079"/>
      <c r="X98" s="1079"/>
      <c r="Y98" s="1079"/>
      <c r="Z98" s="1079"/>
      <c r="AA98" s="1551"/>
      <c r="AB98" s="503"/>
      <c r="AC98" s="503"/>
      <c r="AD98" s="503"/>
      <c r="AE98" s="503"/>
      <c r="AF98" s="1560">
        <v>11</v>
      </c>
    </row>
    <row r="99" spans="1:32" s="2269" customFormat="1" ht="11.45" customHeight="1">
      <c r="A99" s="912"/>
      <c r="B99" s="1555"/>
      <c r="C99" s="1555"/>
      <c r="D99" s="288"/>
      <c r="K99" s="1079"/>
      <c r="L99" s="1555"/>
      <c r="M99" s="1555"/>
      <c r="N99" s="1079"/>
      <c r="O99" s="1079"/>
      <c r="P99" s="1079"/>
      <c r="Q99" s="1079"/>
      <c r="R99" s="1555"/>
      <c r="S99" s="1079"/>
      <c r="T99" s="1079"/>
      <c r="U99" s="481"/>
      <c r="V99" s="1079"/>
      <c r="W99" s="1079"/>
      <c r="X99" s="1079"/>
      <c r="Y99" s="1079"/>
      <c r="Z99" s="1079"/>
      <c r="AA99" s="1551"/>
      <c r="AB99" s="503"/>
      <c r="AC99" s="503"/>
      <c r="AD99" s="503"/>
      <c r="AE99" s="503"/>
      <c r="AF99" s="1560">
        <v>11</v>
      </c>
    </row>
    <row r="100" spans="1:32" s="2269" customFormat="1" ht="11.45" customHeight="1">
      <c r="A100" s="912"/>
      <c r="B100" s="1555"/>
      <c r="C100" s="1555"/>
      <c r="D100" s="288"/>
      <c r="K100" s="1079"/>
      <c r="L100" s="1555"/>
      <c r="M100" s="1555"/>
      <c r="N100" s="1079"/>
      <c r="O100" s="1079"/>
      <c r="P100" s="1079"/>
      <c r="Q100" s="1079"/>
      <c r="R100" s="1555"/>
      <c r="S100" s="1079"/>
      <c r="T100" s="1079"/>
      <c r="U100" s="481"/>
      <c r="V100" s="1079"/>
      <c r="W100" s="1079"/>
      <c r="X100" s="1079"/>
      <c r="Y100" s="1079"/>
      <c r="Z100" s="1079"/>
      <c r="AA100" s="1551"/>
      <c r="AB100" s="503"/>
      <c r="AC100" s="503"/>
      <c r="AD100" s="503"/>
      <c r="AE100" s="503"/>
      <c r="AF100" s="1560">
        <v>11</v>
      </c>
    </row>
    <row r="101" spans="1:32" s="2269" customFormat="1" ht="11.45" customHeight="1">
      <c r="A101" s="912"/>
      <c r="B101" s="1555"/>
      <c r="C101" s="1555"/>
      <c r="D101" s="288"/>
      <c r="K101" s="1079"/>
      <c r="L101" s="1555"/>
      <c r="M101" s="1555"/>
      <c r="N101" s="1079"/>
      <c r="O101" s="1079"/>
      <c r="P101" s="1079"/>
      <c r="Q101" s="1079"/>
      <c r="R101" s="1555"/>
      <c r="S101" s="1079"/>
      <c r="T101" s="1079"/>
      <c r="U101" s="481"/>
      <c r="V101" s="1079"/>
      <c r="W101" s="1079"/>
      <c r="X101" s="1079"/>
      <c r="Y101" s="1079"/>
      <c r="Z101" s="1079"/>
      <c r="AA101" s="1551"/>
      <c r="AB101" s="503"/>
      <c r="AC101" s="503"/>
      <c r="AD101" s="503"/>
      <c r="AE101" s="503"/>
      <c r="AF101" s="1560">
        <v>11</v>
      </c>
    </row>
    <row r="102" spans="1:32" s="2269" customFormat="1" ht="11.45" customHeight="1">
      <c r="A102" s="912"/>
      <c r="B102" s="1555"/>
      <c r="C102" s="1555"/>
      <c r="D102" s="288"/>
      <c r="K102" s="1079"/>
      <c r="L102" s="1555"/>
      <c r="M102" s="1555"/>
      <c r="N102" s="1079"/>
      <c r="O102" s="1079"/>
      <c r="P102" s="1079"/>
      <c r="Q102" s="1079"/>
      <c r="R102" s="1555"/>
      <c r="S102" s="1079"/>
      <c r="T102" s="1079"/>
      <c r="U102" s="481"/>
      <c r="V102" s="1079"/>
      <c r="W102" s="1079"/>
      <c r="X102" s="1079"/>
      <c r="Y102" s="1079"/>
      <c r="Z102" s="1079"/>
      <c r="AA102" s="1551"/>
      <c r="AB102" s="503"/>
      <c r="AC102" s="503"/>
      <c r="AD102" s="503"/>
      <c r="AE102" s="503"/>
      <c r="AF102" s="1560">
        <v>11</v>
      </c>
    </row>
    <row r="103" spans="1:32" s="2269" customFormat="1" ht="11.45" customHeight="1">
      <c r="A103" s="912"/>
      <c r="B103" s="1555"/>
      <c r="C103" s="1555"/>
      <c r="D103" s="288"/>
      <c r="K103" s="1079"/>
      <c r="L103" s="1555"/>
      <c r="M103" s="1555"/>
      <c r="N103" s="1079"/>
      <c r="O103" s="1079"/>
      <c r="P103" s="1079"/>
      <c r="Q103" s="1079"/>
      <c r="R103" s="1555"/>
      <c r="S103" s="1079"/>
      <c r="T103" s="1079"/>
      <c r="U103" s="481"/>
      <c r="V103" s="1079"/>
      <c r="W103" s="1079"/>
      <c r="X103" s="1079"/>
      <c r="Y103" s="1079"/>
      <c r="Z103" s="1079"/>
      <c r="AA103" s="1551"/>
      <c r="AB103" s="503"/>
      <c r="AC103" s="503"/>
      <c r="AD103" s="503"/>
      <c r="AE103" s="503"/>
      <c r="AF103" s="1560">
        <v>11</v>
      </c>
    </row>
    <row r="104" spans="1:32" s="2269" customFormat="1" ht="11.45" customHeight="1">
      <c r="A104" s="912"/>
      <c r="B104" s="1555"/>
      <c r="C104" s="1555"/>
      <c r="D104" s="288"/>
      <c r="K104" s="1079"/>
      <c r="L104" s="1555"/>
      <c r="M104" s="1555"/>
      <c r="N104" s="1079"/>
      <c r="O104" s="1079"/>
      <c r="P104" s="1079"/>
      <c r="Q104" s="1079"/>
      <c r="R104" s="1555"/>
      <c r="S104" s="1079"/>
      <c r="T104" s="1079"/>
      <c r="U104" s="481"/>
      <c r="V104" s="1079"/>
      <c r="W104" s="1079"/>
      <c r="X104" s="1079"/>
      <c r="Y104" s="1079"/>
      <c r="Z104" s="1079"/>
      <c r="AA104" s="1551"/>
      <c r="AB104" s="503"/>
      <c r="AC104" s="503"/>
      <c r="AD104" s="503"/>
      <c r="AE104" s="503"/>
      <c r="AF104" s="1560">
        <v>11</v>
      </c>
    </row>
    <row r="105" spans="1:32" s="2269" customFormat="1" ht="11.45" customHeight="1">
      <c r="A105" s="912"/>
      <c r="B105" s="1555"/>
      <c r="C105" s="1555"/>
      <c r="D105" s="288"/>
      <c r="K105" s="1079"/>
      <c r="L105" s="1555"/>
      <c r="M105" s="1555"/>
      <c r="N105" s="1079"/>
      <c r="O105" s="1079"/>
      <c r="P105" s="1079"/>
      <c r="Q105" s="1079"/>
      <c r="R105" s="1555"/>
      <c r="S105" s="1079"/>
      <c r="T105" s="1079"/>
      <c r="U105" s="481"/>
      <c r="V105" s="1079"/>
      <c r="W105" s="1079"/>
      <c r="X105" s="1079"/>
      <c r="Y105" s="1079"/>
      <c r="Z105" s="1079"/>
      <c r="AA105" s="1551"/>
      <c r="AB105" s="503"/>
      <c r="AC105" s="503"/>
      <c r="AD105" s="503"/>
      <c r="AE105" s="503"/>
      <c r="AF105" s="1560">
        <v>11</v>
      </c>
    </row>
    <row r="106" spans="1:32" s="2269" customFormat="1" ht="11.45" customHeight="1">
      <c r="A106" s="912"/>
      <c r="B106" s="1555"/>
      <c r="C106" s="1555"/>
      <c r="D106" s="288"/>
      <c r="K106" s="1079"/>
      <c r="L106" s="1555"/>
      <c r="M106" s="1555"/>
      <c r="N106" s="1079"/>
      <c r="O106" s="1079"/>
      <c r="P106" s="1079"/>
      <c r="Q106" s="1079"/>
      <c r="R106" s="1555"/>
      <c r="S106" s="1079"/>
      <c r="T106" s="1079"/>
      <c r="U106" s="481"/>
      <c r="V106" s="1079"/>
      <c r="W106" s="1079"/>
      <c r="X106" s="1079"/>
      <c r="Y106" s="1079"/>
      <c r="Z106" s="1079"/>
      <c r="AA106" s="1551"/>
      <c r="AB106" s="503"/>
      <c r="AC106" s="503"/>
      <c r="AD106" s="503"/>
      <c r="AE106" s="503"/>
      <c r="AF106" s="1560">
        <v>11</v>
      </c>
    </row>
    <row r="107" spans="1:32" s="2269" customFormat="1" ht="11.45" customHeight="1">
      <c r="A107" s="912"/>
      <c r="B107" s="1555"/>
      <c r="C107" s="1555"/>
      <c r="D107" s="288"/>
      <c r="K107" s="1079"/>
      <c r="L107" s="1555"/>
      <c r="M107" s="1555"/>
      <c r="N107" s="1079"/>
      <c r="O107" s="1079"/>
      <c r="P107" s="1079"/>
      <c r="Q107" s="1079"/>
      <c r="R107" s="1555"/>
      <c r="S107" s="1079"/>
      <c r="T107" s="1079"/>
      <c r="U107" s="481"/>
      <c r="V107" s="1079"/>
      <c r="W107" s="1079"/>
      <c r="X107" s="1079"/>
      <c r="Y107" s="1079"/>
      <c r="Z107" s="1079"/>
      <c r="AA107" s="1551"/>
      <c r="AB107" s="503"/>
      <c r="AC107" s="503"/>
      <c r="AD107" s="503"/>
      <c r="AE107" s="503"/>
      <c r="AF107" s="1560">
        <v>11</v>
      </c>
    </row>
    <row r="108" spans="1:32" s="2269" customFormat="1" ht="11.45" customHeight="1">
      <c r="A108" s="912"/>
      <c r="B108" s="1555"/>
      <c r="C108" s="1555"/>
      <c r="D108" s="288"/>
      <c r="K108" s="1079"/>
      <c r="L108" s="1555"/>
      <c r="M108" s="1555"/>
      <c r="N108" s="1079"/>
      <c r="O108" s="1079"/>
      <c r="P108" s="1079"/>
      <c r="Q108" s="1079"/>
      <c r="R108" s="1555"/>
      <c r="S108" s="1079"/>
      <c r="T108" s="1079"/>
      <c r="U108" s="481"/>
      <c r="V108" s="1079"/>
      <c r="W108" s="1079"/>
      <c r="X108" s="1079"/>
      <c r="Y108" s="1079"/>
      <c r="Z108" s="1079"/>
      <c r="AA108" s="1551"/>
      <c r="AB108" s="503"/>
      <c r="AC108" s="503"/>
      <c r="AD108" s="503"/>
      <c r="AE108" s="503"/>
      <c r="AF108" s="1560">
        <v>11</v>
      </c>
    </row>
    <row r="109" spans="1:32" s="2269" customFormat="1" ht="11.45" customHeight="1">
      <c r="A109" s="912"/>
      <c r="B109" s="1555"/>
      <c r="C109" s="1555"/>
      <c r="D109" s="288"/>
      <c r="K109" s="1079"/>
      <c r="L109" s="1555"/>
      <c r="M109" s="1555"/>
      <c r="N109" s="1079"/>
      <c r="O109" s="1079"/>
      <c r="P109" s="1079"/>
      <c r="Q109" s="1079"/>
      <c r="R109" s="1555"/>
      <c r="S109" s="1079"/>
      <c r="T109" s="1079"/>
      <c r="U109" s="481"/>
      <c r="V109" s="1079"/>
      <c r="W109" s="1079"/>
      <c r="X109" s="1079"/>
      <c r="Y109" s="1079"/>
      <c r="Z109" s="1079"/>
      <c r="AA109" s="1551"/>
      <c r="AB109" s="503"/>
      <c r="AC109" s="503"/>
      <c r="AD109" s="503"/>
      <c r="AE109" s="503"/>
      <c r="AF109" s="1560">
        <v>11</v>
      </c>
    </row>
    <row r="110" spans="1:32" s="2269" customFormat="1" ht="11.45" customHeight="1">
      <c r="A110" s="912"/>
      <c r="B110" s="1555"/>
      <c r="C110" s="1555"/>
      <c r="D110" s="288"/>
      <c r="K110" s="1079"/>
      <c r="L110" s="1555"/>
      <c r="M110" s="1555"/>
      <c r="N110" s="1079"/>
      <c r="O110" s="1079"/>
      <c r="P110" s="1079"/>
      <c r="Q110" s="1079"/>
      <c r="R110" s="1555"/>
      <c r="S110" s="1079"/>
      <c r="T110" s="1079"/>
      <c r="U110" s="481"/>
      <c r="V110" s="1079"/>
      <c r="W110" s="1079"/>
      <c r="X110" s="1079"/>
      <c r="Y110" s="1079"/>
      <c r="Z110" s="1079"/>
      <c r="AA110" s="1551"/>
      <c r="AB110" s="503"/>
      <c r="AC110" s="503"/>
      <c r="AD110" s="503"/>
      <c r="AE110" s="503"/>
      <c r="AF110" s="1560">
        <v>11</v>
      </c>
    </row>
    <row r="111" spans="1:32" s="2269" customFormat="1" ht="11.45" customHeight="1">
      <c r="A111" s="912"/>
      <c r="B111" s="1555"/>
      <c r="C111" s="1555"/>
      <c r="D111" s="288"/>
      <c r="K111" s="1079"/>
      <c r="L111" s="1555"/>
      <c r="M111" s="1555"/>
      <c r="N111" s="1079"/>
      <c r="O111" s="1079"/>
      <c r="P111" s="1079"/>
      <c r="Q111" s="1079"/>
      <c r="R111" s="1555"/>
      <c r="S111" s="1079"/>
      <c r="T111" s="1079"/>
      <c r="U111" s="481"/>
      <c r="V111" s="1079"/>
      <c r="W111" s="1079"/>
      <c r="X111" s="1079"/>
      <c r="Y111" s="1079"/>
      <c r="Z111" s="1079"/>
      <c r="AA111" s="1551"/>
      <c r="AB111" s="503"/>
      <c r="AC111" s="503"/>
      <c r="AD111" s="503"/>
      <c r="AE111" s="503"/>
      <c r="AF111" s="1560">
        <v>11</v>
      </c>
    </row>
    <row r="112" spans="1:32" s="2269" customFormat="1" ht="11.45" customHeight="1">
      <c r="A112" s="912"/>
      <c r="B112" s="1555"/>
      <c r="C112" s="1555"/>
      <c r="D112" s="288"/>
      <c r="K112" s="1079"/>
      <c r="L112" s="1555"/>
      <c r="M112" s="1555"/>
      <c r="N112" s="1079"/>
      <c r="O112" s="1079"/>
      <c r="P112" s="1079"/>
      <c r="Q112" s="1079"/>
      <c r="R112" s="1555"/>
      <c r="S112" s="1079"/>
      <c r="T112" s="1079"/>
      <c r="U112" s="481"/>
      <c r="V112" s="1079"/>
      <c r="W112" s="1079"/>
      <c r="X112" s="1079"/>
      <c r="Y112" s="1079"/>
      <c r="Z112" s="1079"/>
      <c r="AA112" s="1551"/>
      <c r="AB112" s="503"/>
      <c r="AC112" s="503"/>
      <c r="AD112" s="503"/>
      <c r="AE112" s="503"/>
      <c r="AF112" s="1560">
        <v>11</v>
      </c>
    </row>
    <row r="113" spans="1:32" s="2269" customFormat="1" ht="11.45" customHeight="1">
      <c r="A113" s="912"/>
      <c r="B113" s="1555"/>
      <c r="C113" s="1555"/>
      <c r="D113" s="288"/>
      <c r="K113" s="1079"/>
      <c r="L113" s="1555"/>
      <c r="M113" s="1555"/>
      <c r="N113" s="1079"/>
      <c r="O113" s="1079"/>
      <c r="P113" s="1079"/>
      <c r="Q113" s="1079"/>
      <c r="R113" s="1555"/>
      <c r="S113" s="1079"/>
      <c r="T113" s="1079"/>
      <c r="U113" s="481"/>
      <c r="V113" s="1079"/>
      <c r="W113" s="1079"/>
      <c r="X113" s="1079"/>
      <c r="Y113" s="1079"/>
      <c r="Z113" s="1079"/>
      <c r="AA113" s="1551"/>
      <c r="AB113" s="503"/>
      <c r="AC113" s="503"/>
      <c r="AD113" s="503"/>
      <c r="AE113" s="503"/>
      <c r="AF113" s="1560">
        <v>11</v>
      </c>
    </row>
    <row r="114" spans="1:32" s="2269" customFormat="1" ht="11.45" customHeight="1">
      <c r="A114" s="912"/>
      <c r="B114" s="1555"/>
      <c r="C114" s="1555"/>
      <c r="D114" s="288"/>
      <c r="K114" s="1079"/>
      <c r="L114" s="1555"/>
      <c r="M114" s="1555"/>
      <c r="N114" s="1079"/>
      <c r="O114" s="1079"/>
      <c r="P114" s="1079"/>
      <c r="Q114" s="1079"/>
      <c r="R114" s="1555"/>
      <c r="S114" s="1079"/>
      <c r="T114" s="1079"/>
      <c r="U114" s="481"/>
      <c r="V114" s="1079"/>
      <c r="W114" s="1079"/>
      <c r="X114" s="1079"/>
      <c r="Y114" s="1079"/>
      <c r="Z114" s="1079"/>
      <c r="AA114" s="1551"/>
      <c r="AB114" s="503"/>
      <c r="AC114" s="503"/>
      <c r="AD114" s="503"/>
      <c r="AE114" s="503"/>
      <c r="AF114" s="1560">
        <v>11</v>
      </c>
    </row>
    <row r="115" spans="1:32" s="2269" customFormat="1" ht="11.45" customHeight="1">
      <c r="A115" s="912"/>
      <c r="B115" s="1555"/>
      <c r="C115" s="1555"/>
      <c r="D115" s="288"/>
      <c r="K115" s="1079"/>
      <c r="L115" s="1555"/>
      <c r="M115" s="1555"/>
      <c r="N115" s="1079"/>
      <c r="O115" s="1079"/>
      <c r="P115" s="1079"/>
      <c r="Q115" s="1079"/>
      <c r="R115" s="1555"/>
      <c r="S115" s="1079"/>
      <c r="T115" s="1079"/>
      <c r="U115" s="481"/>
      <c r="V115" s="1079"/>
      <c r="W115" s="1079"/>
      <c r="X115" s="1079"/>
      <c r="Y115" s="1079"/>
      <c r="Z115" s="1079"/>
      <c r="AA115" s="1551"/>
      <c r="AB115" s="503"/>
      <c r="AC115" s="503"/>
      <c r="AD115" s="503"/>
      <c r="AE115" s="503"/>
      <c r="AF115" s="1560">
        <v>11</v>
      </c>
    </row>
    <row r="116" spans="1:32" s="2269" customFormat="1" ht="11.45" customHeight="1">
      <c r="A116" s="912"/>
      <c r="B116" s="1555"/>
      <c r="C116" s="1555"/>
      <c r="D116" s="288"/>
      <c r="K116" s="1079"/>
      <c r="L116" s="1555"/>
      <c r="M116" s="1555"/>
      <c r="N116" s="1079"/>
      <c r="O116" s="1079"/>
      <c r="P116" s="1079"/>
      <c r="Q116" s="1079"/>
      <c r="R116" s="1555"/>
      <c r="S116" s="1079"/>
      <c r="T116" s="1079"/>
      <c r="U116" s="481"/>
      <c r="V116" s="1079"/>
      <c r="W116" s="1079"/>
      <c r="X116" s="1079"/>
      <c r="Y116" s="1079"/>
      <c r="Z116" s="1079"/>
      <c r="AA116" s="1551"/>
      <c r="AB116" s="503"/>
      <c r="AC116" s="503"/>
      <c r="AD116" s="503"/>
      <c r="AE116" s="503"/>
      <c r="AF116" s="1560">
        <v>11</v>
      </c>
    </row>
    <row r="117" spans="1:32" s="2269" customFormat="1" ht="11.45" customHeight="1">
      <c r="A117" s="912"/>
      <c r="B117" s="1555"/>
      <c r="C117" s="1555"/>
      <c r="D117" s="288"/>
      <c r="K117" s="1079"/>
      <c r="L117" s="1555"/>
      <c r="M117" s="1555"/>
      <c r="N117" s="1079"/>
      <c r="O117" s="1079"/>
      <c r="P117" s="1079"/>
      <c r="Q117" s="1079"/>
      <c r="R117" s="1555"/>
      <c r="S117" s="1079"/>
      <c r="T117" s="1079"/>
      <c r="U117" s="481"/>
      <c r="V117" s="1079"/>
      <c r="W117" s="1079"/>
      <c r="X117" s="1079"/>
      <c r="Y117" s="1079"/>
      <c r="Z117" s="1079"/>
      <c r="AA117" s="1551"/>
      <c r="AB117" s="503"/>
      <c r="AC117" s="503"/>
      <c r="AD117" s="503"/>
      <c r="AE117" s="503"/>
      <c r="AF117" s="1560">
        <v>11</v>
      </c>
    </row>
    <row r="118" spans="1:32" s="2269" customFormat="1" ht="11.45" customHeight="1">
      <c r="A118" s="912"/>
      <c r="B118" s="1555"/>
      <c r="C118" s="1555"/>
      <c r="D118" s="288"/>
      <c r="K118" s="1079"/>
      <c r="L118" s="1555"/>
      <c r="M118" s="1555"/>
      <c r="N118" s="1079"/>
      <c r="O118" s="1079"/>
      <c r="P118" s="1079"/>
      <c r="Q118" s="1079"/>
      <c r="R118" s="1555"/>
      <c r="S118" s="1079"/>
      <c r="T118" s="1079"/>
      <c r="U118" s="481"/>
      <c r="V118" s="1079"/>
      <c r="W118" s="1079"/>
      <c r="X118" s="1079"/>
      <c r="Y118" s="1079"/>
      <c r="Z118" s="1079"/>
      <c r="AA118" s="1551"/>
      <c r="AB118" s="503"/>
      <c r="AC118" s="503"/>
      <c r="AD118" s="503"/>
      <c r="AE118" s="503"/>
      <c r="AF118" s="1560">
        <v>11</v>
      </c>
    </row>
    <row r="119" spans="1:32" s="2269" customFormat="1" ht="11.45" customHeight="1">
      <c r="A119" s="912"/>
      <c r="B119" s="1555"/>
      <c r="C119" s="1555"/>
      <c r="D119" s="288"/>
      <c r="K119" s="1079"/>
      <c r="L119" s="1555"/>
      <c r="M119" s="1555"/>
      <c r="N119" s="1079"/>
      <c r="O119" s="1079"/>
      <c r="P119" s="1079"/>
      <c r="Q119" s="1079"/>
      <c r="R119" s="1555"/>
      <c r="S119" s="1079"/>
      <c r="T119" s="1079"/>
      <c r="U119" s="481"/>
      <c r="V119" s="1079"/>
      <c r="W119" s="1079"/>
      <c r="X119" s="1079"/>
      <c r="Y119" s="1079"/>
      <c r="Z119" s="1079"/>
      <c r="AA119" s="1551"/>
      <c r="AB119" s="503"/>
      <c r="AC119" s="503"/>
      <c r="AD119" s="503"/>
      <c r="AE119" s="503"/>
      <c r="AF119" s="1560">
        <v>11</v>
      </c>
    </row>
    <row r="120" spans="1:32" s="2269" customFormat="1" ht="11.45" customHeight="1">
      <c r="A120" s="912"/>
      <c r="B120" s="1555"/>
      <c r="C120" s="1555"/>
      <c r="D120" s="288"/>
      <c r="K120" s="1079"/>
      <c r="L120" s="1555"/>
      <c r="M120" s="1555"/>
      <c r="N120" s="1079"/>
      <c r="O120" s="1079"/>
      <c r="P120" s="1079"/>
      <c r="Q120" s="1079"/>
      <c r="R120" s="1555"/>
      <c r="S120" s="1079"/>
      <c r="T120" s="1079"/>
      <c r="U120" s="481"/>
      <c r="V120" s="1079"/>
      <c r="W120" s="1079"/>
      <c r="X120" s="1079"/>
      <c r="Y120" s="1079"/>
      <c r="Z120" s="1079"/>
      <c r="AA120" s="1551"/>
      <c r="AB120" s="503"/>
      <c r="AC120" s="503"/>
      <c r="AD120" s="503"/>
      <c r="AE120" s="503"/>
      <c r="AF120" s="1560">
        <v>11</v>
      </c>
    </row>
    <row r="121" spans="1:32" s="2269" customFormat="1" ht="11.45" customHeight="1">
      <c r="A121" s="912"/>
      <c r="B121" s="1555"/>
      <c r="C121" s="1555"/>
      <c r="D121" s="288"/>
      <c r="K121" s="1079"/>
      <c r="L121" s="1555"/>
      <c r="M121" s="1555"/>
      <c r="N121" s="1079"/>
      <c r="O121" s="1079"/>
      <c r="P121" s="1079"/>
      <c r="Q121" s="1079"/>
      <c r="R121" s="1555"/>
      <c r="S121" s="1079"/>
      <c r="T121" s="1079"/>
      <c r="U121" s="481"/>
      <c r="V121" s="1079"/>
      <c r="W121" s="1079"/>
      <c r="X121" s="1079"/>
      <c r="Y121" s="1079"/>
      <c r="Z121" s="1079"/>
      <c r="AA121" s="1551"/>
      <c r="AB121" s="503"/>
      <c r="AC121" s="503"/>
      <c r="AD121" s="503"/>
      <c r="AE121" s="503"/>
      <c r="AF121" s="1560">
        <v>11</v>
      </c>
    </row>
    <row r="122" spans="1:32" s="2269" customFormat="1" ht="11.45" customHeight="1">
      <c r="A122" s="912"/>
      <c r="B122" s="1555"/>
      <c r="C122" s="1555"/>
      <c r="D122" s="288"/>
      <c r="K122" s="1079"/>
      <c r="L122" s="1555"/>
      <c r="M122" s="1555"/>
      <c r="N122" s="1079"/>
      <c r="O122" s="1079"/>
      <c r="P122" s="1079"/>
      <c r="Q122" s="1079"/>
      <c r="R122" s="1555"/>
      <c r="S122" s="1079"/>
      <c r="T122" s="1079"/>
      <c r="U122" s="481"/>
      <c r="V122" s="1079"/>
      <c r="W122" s="1079"/>
      <c r="X122" s="1079"/>
      <c r="Y122" s="1079"/>
      <c r="Z122" s="1079"/>
      <c r="AA122" s="1551"/>
      <c r="AB122" s="503"/>
      <c r="AC122" s="503"/>
      <c r="AD122" s="503"/>
      <c r="AE122" s="503"/>
      <c r="AF122" s="1560">
        <v>11</v>
      </c>
    </row>
    <row r="123" spans="1:32" s="2269" customFormat="1" ht="11.45" customHeight="1">
      <c r="A123" s="912"/>
      <c r="B123" s="1555"/>
      <c r="C123" s="1555"/>
      <c r="D123" s="288"/>
      <c r="K123" s="1079"/>
      <c r="L123" s="1555"/>
      <c r="M123" s="1555"/>
      <c r="N123" s="1079"/>
      <c r="O123" s="1079"/>
      <c r="P123" s="1079"/>
      <c r="Q123" s="1079"/>
      <c r="R123" s="1555"/>
      <c r="S123" s="1079"/>
      <c r="T123" s="1079"/>
      <c r="U123" s="481"/>
      <c r="V123" s="1079"/>
      <c r="W123" s="1079"/>
      <c r="X123" s="1079"/>
      <c r="Y123" s="1079"/>
      <c r="Z123" s="1079"/>
      <c r="AA123" s="1551"/>
      <c r="AB123" s="503"/>
      <c r="AC123" s="503"/>
      <c r="AD123" s="503"/>
      <c r="AE123" s="503"/>
      <c r="AF123" s="1560">
        <v>11</v>
      </c>
    </row>
    <row r="124" spans="1:32" s="2269" customFormat="1" ht="11.45" customHeight="1">
      <c r="A124" s="912"/>
      <c r="B124" s="1555"/>
      <c r="C124" s="1555"/>
      <c r="D124" s="288"/>
      <c r="K124" s="1079"/>
      <c r="L124" s="1555"/>
      <c r="M124" s="1555"/>
      <c r="N124" s="1079"/>
      <c r="O124" s="1079"/>
      <c r="P124" s="1079"/>
      <c r="Q124" s="1079"/>
      <c r="R124" s="1555"/>
      <c r="S124" s="1079"/>
      <c r="T124" s="1079"/>
      <c r="U124" s="481"/>
      <c r="V124" s="1079"/>
      <c r="W124" s="1079"/>
      <c r="X124" s="1079"/>
      <c r="Y124" s="1079"/>
      <c r="Z124" s="1079"/>
      <c r="AA124" s="1551"/>
      <c r="AB124" s="503"/>
      <c r="AC124" s="503"/>
      <c r="AD124" s="503"/>
      <c r="AE124" s="503"/>
      <c r="AF124" s="1560">
        <v>11</v>
      </c>
    </row>
    <row r="125" spans="1:32" s="2269" customFormat="1" ht="11.45" customHeight="1">
      <c r="A125" s="912"/>
      <c r="B125" s="1555"/>
      <c r="C125" s="1555"/>
      <c r="D125" s="288"/>
      <c r="K125" s="1079"/>
      <c r="L125" s="1555"/>
      <c r="M125" s="1555"/>
      <c r="N125" s="1079"/>
      <c r="O125" s="1079"/>
      <c r="P125" s="1079"/>
      <c r="Q125" s="1079"/>
      <c r="R125" s="1555"/>
      <c r="S125" s="1079"/>
      <c r="T125" s="1079"/>
      <c r="U125" s="481"/>
      <c r="V125" s="1079"/>
      <c r="W125" s="1079"/>
      <c r="X125" s="1079"/>
      <c r="Y125" s="1079"/>
      <c r="Z125" s="1079"/>
      <c r="AA125" s="1551"/>
      <c r="AB125" s="503"/>
      <c r="AC125" s="503"/>
      <c r="AD125" s="503"/>
      <c r="AE125" s="503"/>
      <c r="AF125" s="1560">
        <v>11</v>
      </c>
    </row>
    <row r="126" spans="1:32" s="2269" customFormat="1" ht="11.45" customHeight="1">
      <c r="A126" s="912"/>
      <c r="B126" s="1555"/>
      <c r="C126" s="1555"/>
      <c r="D126" s="288"/>
      <c r="K126" s="1079"/>
      <c r="L126" s="1555"/>
      <c r="M126" s="1555"/>
      <c r="N126" s="1079"/>
      <c r="O126" s="1079"/>
      <c r="P126" s="1079"/>
      <c r="Q126" s="1079"/>
      <c r="R126" s="1555"/>
      <c r="S126" s="1079"/>
      <c r="T126" s="1079"/>
      <c r="U126" s="481"/>
      <c r="V126" s="1079"/>
      <c r="W126" s="1079"/>
      <c r="X126" s="1079"/>
      <c r="Y126" s="1079"/>
      <c r="Z126" s="1079"/>
      <c r="AA126" s="1551"/>
      <c r="AB126" s="503"/>
      <c r="AC126" s="503"/>
      <c r="AD126" s="503"/>
      <c r="AE126" s="503"/>
      <c r="AF126" s="1560">
        <v>11</v>
      </c>
    </row>
    <row r="127" spans="1:32" s="2269" customFormat="1" ht="11.45" customHeight="1">
      <c r="A127" s="912"/>
      <c r="B127" s="1555"/>
      <c r="C127" s="1555"/>
      <c r="D127" s="288"/>
      <c r="K127" s="1079"/>
      <c r="L127" s="1555"/>
      <c r="M127" s="1555"/>
      <c r="N127" s="1079"/>
      <c r="O127" s="1079"/>
      <c r="P127" s="1079"/>
      <c r="Q127" s="1079"/>
      <c r="R127" s="1555"/>
      <c r="S127" s="1079"/>
      <c r="T127" s="1079"/>
      <c r="U127" s="481"/>
      <c r="V127" s="1079"/>
      <c r="W127" s="1079"/>
      <c r="X127" s="1079"/>
      <c r="Y127" s="1079"/>
      <c r="Z127" s="1079"/>
      <c r="AA127" s="1551"/>
      <c r="AB127" s="503"/>
      <c r="AC127" s="503"/>
      <c r="AD127" s="503"/>
      <c r="AE127" s="503"/>
      <c r="AF127" s="1560">
        <v>11</v>
      </c>
    </row>
    <row r="128" spans="1:32" s="2269" customFormat="1" ht="11.45" customHeight="1">
      <c r="A128" s="912"/>
      <c r="B128" s="1555"/>
      <c r="C128" s="1555"/>
      <c r="D128" s="288"/>
      <c r="K128" s="1079"/>
      <c r="L128" s="1555"/>
      <c r="M128" s="1555"/>
      <c r="N128" s="1079"/>
      <c r="O128" s="1079"/>
      <c r="P128" s="1079"/>
      <c r="Q128" s="1079"/>
      <c r="R128" s="1555"/>
      <c r="S128" s="1079"/>
      <c r="T128" s="1079"/>
      <c r="U128" s="481"/>
      <c r="V128" s="1079"/>
      <c r="W128" s="1079"/>
      <c r="X128" s="1079"/>
      <c r="Y128" s="1079"/>
      <c r="Z128" s="1079"/>
      <c r="AA128" s="1551"/>
      <c r="AB128" s="503"/>
      <c r="AC128" s="503"/>
      <c r="AD128" s="503"/>
      <c r="AE128" s="503"/>
      <c r="AF128" s="1560">
        <v>11</v>
      </c>
    </row>
    <row r="129" spans="1:32" s="2269" customFormat="1" ht="11.45" customHeight="1">
      <c r="A129" s="912"/>
      <c r="B129" s="1555"/>
      <c r="C129" s="1555"/>
      <c r="D129" s="288"/>
      <c r="K129" s="1079"/>
      <c r="L129" s="1555"/>
      <c r="M129" s="1555"/>
      <c r="N129" s="1079"/>
      <c r="O129" s="1079"/>
      <c r="P129" s="1079"/>
      <c r="Q129" s="1079"/>
      <c r="R129" s="1555"/>
      <c r="S129" s="1079"/>
      <c r="T129" s="1079"/>
      <c r="U129" s="481"/>
      <c r="V129" s="1079"/>
      <c r="W129" s="1079"/>
      <c r="X129" s="1079"/>
      <c r="Y129" s="1079"/>
      <c r="Z129" s="1079"/>
      <c r="AA129" s="1551"/>
      <c r="AB129" s="503"/>
      <c r="AC129" s="503"/>
      <c r="AD129" s="503"/>
      <c r="AE129" s="503"/>
      <c r="AF129" s="1560">
        <v>11</v>
      </c>
    </row>
    <row r="130" spans="1:32" s="2269" customFormat="1" ht="11.45" customHeight="1">
      <c r="A130" s="912"/>
      <c r="B130" s="1555"/>
      <c r="C130" s="1555"/>
      <c r="D130" s="288"/>
      <c r="K130" s="1079"/>
      <c r="L130" s="1555"/>
      <c r="M130" s="1555"/>
      <c r="N130" s="1079"/>
      <c r="O130" s="1079"/>
      <c r="P130" s="1079"/>
      <c r="Q130" s="1079"/>
      <c r="R130" s="1555"/>
      <c r="S130" s="1079"/>
      <c r="T130" s="1079"/>
      <c r="U130" s="481"/>
      <c r="V130" s="1079"/>
      <c r="W130" s="1079"/>
      <c r="X130" s="1079"/>
      <c r="Y130" s="1079"/>
      <c r="Z130" s="1079"/>
      <c r="AA130" s="1551"/>
      <c r="AB130" s="503"/>
      <c r="AC130" s="503"/>
      <c r="AD130" s="503"/>
      <c r="AE130" s="503"/>
      <c r="AF130" s="1560">
        <v>11</v>
      </c>
    </row>
    <row r="131" spans="1:32" s="2269" customFormat="1" ht="11.45" customHeight="1">
      <c r="A131" s="912"/>
      <c r="B131" s="1555"/>
      <c r="C131" s="1555"/>
      <c r="D131" s="288"/>
      <c r="K131" s="1079"/>
      <c r="L131" s="1555"/>
      <c r="M131" s="1555"/>
      <c r="N131" s="1079"/>
      <c r="O131" s="1079"/>
      <c r="P131" s="1079"/>
      <c r="Q131" s="1079"/>
      <c r="R131" s="1555"/>
      <c r="S131" s="1079"/>
      <c r="T131" s="1079"/>
      <c r="U131" s="481"/>
      <c r="V131" s="1079"/>
      <c r="W131" s="1079"/>
      <c r="X131" s="1079"/>
      <c r="Y131" s="1079"/>
      <c r="Z131" s="1079"/>
      <c r="AA131" s="1551"/>
      <c r="AB131" s="503"/>
      <c r="AC131" s="503"/>
      <c r="AD131" s="503"/>
      <c r="AE131" s="503"/>
      <c r="AF131" s="1560">
        <v>11</v>
      </c>
    </row>
    <row r="132" spans="1:32" s="2269" customFormat="1" ht="11.45" customHeight="1">
      <c r="A132" s="912"/>
      <c r="B132" s="1555"/>
      <c r="C132" s="1555"/>
      <c r="D132" s="288"/>
      <c r="K132" s="1079"/>
      <c r="L132" s="1555"/>
      <c r="M132" s="1555"/>
      <c r="N132" s="1079"/>
      <c r="O132" s="1079"/>
      <c r="P132" s="1079"/>
      <c r="Q132" s="1079"/>
      <c r="R132" s="1555"/>
      <c r="S132" s="1079"/>
      <c r="T132" s="1079"/>
      <c r="U132" s="481"/>
      <c r="V132" s="1079"/>
      <c r="W132" s="1079"/>
      <c r="X132" s="1079"/>
      <c r="Y132" s="1079"/>
      <c r="Z132" s="1079"/>
      <c r="AA132" s="1551"/>
      <c r="AB132" s="503"/>
      <c r="AC132" s="503"/>
      <c r="AD132" s="503"/>
      <c r="AE132" s="503"/>
      <c r="AF132" s="1560">
        <v>11</v>
      </c>
    </row>
    <row r="133" spans="1:32" s="2269" customFormat="1" ht="11.45" customHeight="1">
      <c r="A133" s="912"/>
      <c r="B133" s="1555"/>
      <c r="C133" s="1555"/>
      <c r="D133" s="288"/>
      <c r="K133" s="1079"/>
      <c r="L133" s="1555"/>
      <c r="M133" s="1555"/>
      <c r="N133" s="1079"/>
      <c r="O133" s="1079"/>
      <c r="P133" s="1079"/>
      <c r="Q133" s="1079"/>
      <c r="R133" s="1555"/>
      <c r="S133" s="1079"/>
      <c r="T133" s="1079"/>
      <c r="U133" s="481"/>
      <c r="V133" s="1079"/>
      <c r="W133" s="1079"/>
      <c r="X133" s="1079"/>
      <c r="Y133" s="1079"/>
      <c r="Z133" s="1079"/>
      <c r="AA133" s="1551"/>
      <c r="AB133" s="503"/>
      <c r="AC133" s="503"/>
      <c r="AD133" s="503"/>
      <c r="AE133" s="503"/>
      <c r="AF133" s="1560">
        <v>11</v>
      </c>
    </row>
    <row r="134" spans="1:32" s="2269" customFormat="1" ht="11.45" customHeight="1">
      <c r="A134" s="912"/>
      <c r="B134" s="1555"/>
      <c r="C134" s="1555"/>
      <c r="D134" s="288"/>
      <c r="K134" s="1079"/>
      <c r="L134" s="1555"/>
      <c r="M134" s="1555"/>
      <c r="N134" s="1079"/>
      <c r="O134" s="1079"/>
      <c r="P134" s="1079"/>
      <c r="Q134" s="1079"/>
      <c r="R134" s="1555"/>
      <c r="S134" s="1079"/>
      <c r="T134" s="1079"/>
      <c r="U134" s="481"/>
      <c r="V134" s="1079"/>
      <c r="W134" s="1079"/>
      <c r="X134" s="1079"/>
      <c r="Y134" s="1079"/>
      <c r="Z134" s="1079"/>
      <c r="AA134" s="1551"/>
      <c r="AB134" s="503"/>
      <c r="AC134" s="503"/>
      <c r="AD134" s="503"/>
      <c r="AE134" s="503"/>
      <c r="AF134" s="1560">
        <v>11</v>
      </c>
    </row>
    <row r="135" spans="1:32" s="2269" customFormat="1" ht="11.45" customHeight="1">
      <c r="A135" s="912"/>
      <c r="B135" s="1555"/>
      <c r="C135" s="1555"/>
      <c r="D135" s="288"/>
      <c r="K135" s="1079"/>
      <c r="L135" s="1555"/>
      <c r="M135" s="1555"/>
      <c r="N135" s="1079"/>
      <c r="O135" s="1079"/>
      <c r="P135" s="1079"/>
      <c r="Q135" s="1079"/>
      <c r="R135" s="1555"/>
      <c r="S135" s="1079"/>
      <c r="T135" s="1079"/>
      <c r="U135" s="481"/>
      <c r="V135" s="1079"/>
      <c r="W135" s="1079"/>
      <c r="X135" s="1079"/>
      <c r="Y135" s="1079"/>
      <c r="Z135" s="1079"/>
      <c r="AA135" s="1551"/>
      <c r="AB135" s="503"/>
      <c r="AC135" s="503"/>
      <c r="AD135" s="503"/>
      <c r="AE135" s="503"/>
      <c r="AF135" s="1560">
        <v>11</v>
      </c>
    </row>
    <row r="136" spans="1:32" s="2269" customFormat="1" ht="11.45" customHeight="1">
      <c r="A136" s="912"/>
      <c r="B136" s="1555"/>
      <c r="C136" s="1555"/>
      <c r="D136" s="288"/>
      <c r="K136" s="1079"/>
      <c r="L136" s="1555"/>
      <c r="M136" s="1555"/>
      <c r="N136" s="1079"/>
      <c r="O136" s="1079"/>
      <c r="P136" s="1079"/>
      <c r="Q136" s="1079"/>
      <c r="R136" s="1555"/>
      <c r="S136" s="1079"/>
      <c r="T136" s="1079"/>
      <c r="U136" s="481"/>
      <c r="V136" s="1079"/>
      <c r="W136" s="1079"/>
      <c r="X136" s="1079"/>
      <c r="Y136" s="1079"/>
      <c r="Z136" s="1079"/>
      <c r="AA136" s="1551"/>
      <c r="AB136" s="503"/>
      <c r="AC136" s="503"/>
      <c r="AD136" s="503"/>
      <c r="AE136" s="503"/>
      <c r="AF136" s="1560">
        <v>11</v>
      </c>
    </row>
    <row r="137" spans="1:32" s="2269" customFormat="1" ht="11.45" customHeight="1">
      <c r="A137" s="912"/>
      <c r="B137" s="1555"/>
      <c r="C137" s="1555"/>
      <c r="D137" s="288"/>
      <c r="K137" s="1079"/>
      <c r="L137" s="1555"/>
      <c r="M137" s="1555"/>
      <c r="N137" s="1079"/>
      <c r="O137" s="1079"/>
      <c r="P137" s="1079"/>
      <c r="Q137" s="1079"/>
      <c r="R137" s="1555"/>
      <c r="S137" s="1079"/>
      <c r="T137" s="1079"/>
      <c r="U137" s="481"/>
      <c r="V137" s="1079"/>
      <c r="W137" s="1079"/>
      <c r="X137" s="1079"/>
      <c r="Y137" s="1079"/>
      <c r="Z137" s="1079"/>
      <c r="AA137" s="1551"/>
      <c r="AB137" s="503"/>
      <c r="AC137" s="503"/>
      <c r="AD137" s="503"/>
      <c r="AE137" s="503"/>
      <c r="AF137" s="1560">
        <v>11</v>
      </c>
    </row>
    <row r="138" spans="1:32" s="2269" customFormat="1" ht="11.45" customHeight="1">
      <c r="A138" s="912"/>
      <c r="B138" s="1555"/>
      <c r="C138" s="1555"/>
      <c r="D138" s="288"/>
      <c r="K138" s="1079"/>
      <c r="L138" s="1555"/>
      <c r="M138" s="1555"/>
      <c r="N138" s="1079"/>
      <c r="O138" s="1079"/>
      <c r="P138" s="1079"/>
      <c r="Q138" s="1079"/>
      <c r="R138" s="1555"/>
      <c r="S138" s="1079"/>
      <c r="T138" s="1079"/>
      <c r="U138" s="481"/>
      <c r="V138" s="1079"/>
      <c r="W138" s="1079"/>
      <c r="X138" s="1079"/>
      <c r="Y138" s="1079"/>
      <c r="Z138" s="1079"/>
      <c r="AA138" s="1551"/>
      <c r="AB138" s="503"/>
      <c r="AC138" s="503"/>
      <c r="AD138" s="503"/>
      <c r="AE138" s="503"/>
      <c r="AF138" s="1560">
        <v>11</v>
      </c>
    </row>
    <row r="139" spans="1:32" s="2269" customFormat="1" ht="11.45" customHeight="1">
      <c r="A139" s="912"/>
      <c r="B139" s="1555"/>
      <c r="C139" s="1555"/>
      <c r="D139" s="288"/>
      <c r="K139" s="1079"/>
      <c r="L139" s="1555"/>
      <c r="M139" s="1555"/>
      <c r="N139" s="1079"/>
      <c r="O139" s="1079"/>
      <c r="P139" s="1079"/>
      <c r="Q139" s="1079"/>
      <c r="R139" s="1555"/>
      <c r="S139" s="1079"/>
      <c r="T139" s="1079"/>
      <c r="U139" s="481"/>
      <c r="V139" s="1079"/>
      <c r="W139" s="1079"/>
      <c r="X139" s="1079"/>
      <c r="Y139" s="1079"/>
      <c r="Z139" s="1079"/>
      <c r="AA139" s="1551"/>
      <c r="AB139" s="503"/>
      <c r="AC139" s="503"/>
      <c r="AD139" s="503"/>
      <c r="AE139" s="503"/>
      <c r="AF139" s="1560">
        <v>11</v>
      </c>
    </row>
    <row r="140" spans="1:32" s="2269" customFormat="1" ht="11.45" customHeight="1">
      <c r="A140" s="912"/>
      <c r="B140" s="1555"/>
      <c r="C140" s="1555"/>
      <c r="D140" s="288"/>
      <c r="K140" s="1079"/>
      <c r="L140" s="1555"/>
      <c r="M140" s="1555"/>
      <c r="N140" s="1079"/>
      <c r="O140" s="1079"/>
      <c r="P140" s="1079"/>
      <c r="Q140" s="1079"/>
      <c r="R140" s="1555"/>
      <c r="S140" s="1079"/>
      <c r="T140" s="1079"/>
      <c r="U140" s="481"/>
      <c r="V140" s="1079"/>
      <c r="W140" s="1079"/>
      <c r="X140" s="1079"/>
      <c r="Y140" s="1079"/>
      <c r="Z140" s="1079"/>
      <c r="AA140" s="1551"/>
      <c r="AB140" s="503"/>
      <c r="AC140" s="503"/>
      <c r="AD140" s="503"/>
      <c r="AE140" s="503"/>
      <c r="AF140" s="1560">
        <v>11</v>
      </c>
    </row>
    <row r="141" spans="1:32" s="2269" customFormat="1" ht="11.45" customHeight="1">
      <c r="A141" s="912"/>
      <c r="B141" s="1555"/>
      <c r="C141" s="1555"/>
      <c r="D141" s="288"/>
      <c r="K141" s="1079"/>
      <c r="L141" s="1555"/>
      <c r="M141" s="1555"/>
      <c r="N141" s="1079"/>
      <c r="O141" s="1079"/>
      <c r="P141" s="1079"/>
      <c r="Q141" s="1079"/>
      <c r="R141" s="1555"/>
      <c r="S141" s="1079"/>
      <c r="T141" s="1079"/>
      <c r="U141" s="481"/>
      <c r="V141" s="1079"/>
      <c r="W141" s="1079"/>
      <c r="X141" s="1079"/>
      <c r="Y141" s="1079"/>
      <c r="Z141" s="1079"/>
      <c r="AA141" s="1551"/>
      <c r="AB141" s="503"/>
      <c r="AC141" s="503"/>
      <c r="AD141" s="503"/>
      <c r="AE141" s="503"/>
      <c r="AF141" s="1560">
        <v>11</v>
      </c>
    </row>
    <row r="142" spans="1:32" s="2269" customFormat="1" ht="11.45" customHeight="1">
      <c r="A142" s="912"/>
      <c r="B142" s="1555"/>
      <c r="C142" s="1555"/>
      <c r="D142" s="288"/>
      <c r="K142" s="1079"/>
      <c r="L142" s="1555"/>
      <c r="M142" s="1555"/>
      <c r="N142" s="1079"/>
      <c r="O142" s="1079"/>
      <c r="P142" s="1079"/>
      <c r="Q142" s="1079"/>
      <c r="R142" s="1555"/>
      <c r="S142" s="1079"/>
      <c r="T142" s="1079"/>
      <c r="U142" s="481"/>
      <c r="V142" s="1079"/>
      <c r="W142" s="1079"/>
      <c r="X142" s="1079"/>
      <c r="Y142" s="1079"/>
      <c r="Z142" s="1079"/>
      <c r="AA142" s="1551"/>
      <c r="AB142" s="503"/>
      <c r="AC142" s="503"/>
      <c r="AD142" s="503"/>
      <c r="AE142" s="503"/>
      <c r="AF142" s="1560">
        <v>11</v>
      </c>
    </row>
    <row r="143" spans="1:32" s="2269" customFormat="1" ht="11.45" customHeight="1">
      <c r="A143" s="912"/>
      <c r="B143" s="1555"/>
      <c r="C143" s="1555"/>
      <c r="D143" s="288"/>
      <c r="K143" s="1079"/>
      <c r="L143" s="1555"/>
      <c r="M143" s="1555"/>
      <c r="N143" s="1079"/>
      <c r="O143" s="1079"/>
      <c r="P143" s="1079"/>
      <c r="Q143" s="1079"/>
      <c r="R143" s="1555"/>
      <c r="S143" s="1079"/>
      <c r="T143" s="1079"/>
      <c r="U143" s="481"/>
      <c r="V143" s="1079"/>
      <c r="W143" s="1079"/>
      <c r="X143" s="1079"/>
      <c r="Y143" s="1079"/>
      <c r="Z143" s="1079"/>
      <c r="AA143" s="1551"/>
      <c r="AB143" s="503"/>
      <c r="AC143" s="503"/>
      <c r="AD143" s="503"/>
      <c r="AE143" s="503"/>
      <c r="AF143" s="1560">
        <v>11</v>
      </c>
    </row>
    <row r="144" spans="1:32" s="2269" customFormat="1" ht="11.45" customHeight="1">
      <c r="A144" s="912"/>
      <c r="B144" s="1555"/>
      <c r="C144" s="1555"/>
      <c r="D144" s="288"/>
      <c r="K144" s="1079"/>
      <c r="L144" s="1555"/>
      <c r="M144" s="1555"/>
      <c r="N144" s="1079"/>
      <c r="O144" s="1079"/>
      <c r="P144" s="1079"/>
      <c r="Q144" s="1079"/>
      <c r="R144" s="1555"/>
      <c r="S144" s="1079"/>
      <c r="T144" s="1079"/>
      <c r="U144" s="481"/>
      <c r="V144" s="1079"/>
      <c r="W144" s="1079"/>
      <c r="X144" s="1079"/>
      <c r="Y144" s="1079"/>
      <c r="Z144" s="1079"/>
      <c r="AA144" s="1551"/>
      <c r="AB144" s="503"/>
      <c r="AC144" s="503"/>
      <c r="AD144" s="503"/>
      <c r="AE144" s="503"/>
      <c r="AF144" s="1560">
        <v>11</v>
      </c>
    </row>
    <row r="145" spans="1:32" s="2269" customFormat="1" ht="11.45" customHeight="1">
      <c r="A145" s="912"/>
      <c r="B145" s="1555"/>
      <c r="C145" s="1555"/>
      <c r="D145" s="288"/>
      <c r="K145" s="1079"/>
      <c r="L145" s="1555"/>
      <c r="M145" s="1555"/>
      <c r="N145" s="1079"/>
      <c r="O145" s="1079"/>
      <c r="P145" s="1079"/>
      <c r="Q145" s="1079"/>
      <c r="R145" s="1555"/>
      <c r="S145" s="1079"/>
      <c r="T145" s="1079"/>
      <c r="U145" s="481"/>
      <c r="V145" s="1079"/>
      <c r="W145" s="1079"/>
      <c r="X145" s="1079"/>
      <c r="Y145" s="1079"/>
      <c r="Z145" s="1079"/>
      <c r="AA145" s="1551"/>
      <c r="AB145" s="503"/>
      <c r="AC145" s="503"/>
      <c r="AD145" s="503"/>
      <c r="AE145" s="503"/>
      <c r="AF145" s="1560">
        <v>11</v>
      </c>
    </row>
    <row r="146" spans="1:32" s="2269" customFormat="1" ht="11.45" customHeight="1">
      <c r="A146" s="912"/>
      <c r="B146" s="1555"/>
      <c r="C146" s="1555"/>
      <c r="D146" s="288"/>
      <c r="K146" s="1079"/>
      <c r="L146" s="1555"/>
      <c r="M146" s="1555"/>
      <c r="N146" s="1079"/>
      <c r="O146" s="1079"/>
      <c r="P146" s="1079"/>
      <c r="Q146" s="1079"/>
      <c r="R146" s="1555"/>
      <c r="S146" s="1079"/>
      <c r="T146" s="1079"/>
      <c r="U146" s="481"/>
      <c r="V146" s="1079"/>
      <c r="W146" s="1079"/>
      <c r="X146" s="1079"/>
      <c r="Y146" s="1079"/>
      <c r="Z146" s="1079"/>
      <c r="AA146" s="1551"/>
      <c r="AB146" s="503"/>
      <c r="AC146" s="503"/>
      <c r="AD146" s="503"/>
      <c r="AE146" s="503"/>
      <c r="AF146" s="1560">
        <v>11</v>
      </c>
    </row>
    <row r="147" spans="1:32" s="2269" customFormat="1" ht="11.45" customHeight="1">
      <c r="A147" s="912"/>
      <c r="B147" s="1555"/>
      <c r="C147" s="1555"/>
      <c r="D147" s="288"/>
      <c r="K147" s="1079"/>
      <c r="L147" s="1555"/>
      <c r="M147" s="1555"/>
      <c r="N147" s="1079"/>
      <c r="O147" s="1079"/>
      <c r="P147" s="1079"/>
      <c r="Q147" s="1079"/>
      <c r="R147" s="1555"/>
      <c r="S147" s="1079"/>
      <c r="T147" s="1079"/>
      <c r="U147" s="481"/>
      <c r="V147" s="1079"/>
      <c r="W147" s="1079"/>
      <c r="X147" s="1079"/>
      <c r="Y147" s="1079"/>
      <c r="Z147" s="1079"/>
      <c r="AA147" s="1551"/>
      <c r="AB147" s="503"/>
      <c r="AC147" s="503"/>
      <c r="AD147" s="503"/>
      <c r="AE147" s="503"/>
      <c r="AF147" s="1560">
        <v>11</v>
      </c>
    </row>
    <row r="148" spans="1:32" s="2269" customFormat="1" ht="11.45" customHeight="1">
      <c r="A148" s="912"/>
      <c r="B148" s="1555"/>
      <c r="C148" s="1555"/>
      <c r="D148" s="288"/>
      <c r="K148" s="1079"/>
      <c r="L148" s="1555"/>
      <c r="M148" s="1555"/>
      <c r="N148" s="1079"/>
      <c r="O148" s="1079"/>
      <c r="P148" s="1079"/>
      <c r="Q148" s="1079"/>
      <c r="R148" s="1555"/>
      <c r="S148" s="1079"/>
      <c r="T148" s="1079"/>
      <c r="U148" s="481"/>
      <c r="V148" s="1079"/>
      <c r="W148" s="1079"/>
      <c r="X148" s="1079"/>
      <c r="Y148" s="1079"/>
      <c r="Z148" s="1079"/>
      <c r="AA148" s="1551"/>
      <c r="AB148" s="503"/>
      <c r="AC148" s="503"/>
      <c r="AD148" s="503"/>
      <c r="AE148" s="503"/>
      <c r="AF148" s="1560">
        <v>11</v>
      </c>
    </row>
    <row r="149" spans="1:32" s="2269" customFormat="1" ht="11.45" customHeight="1">
      <c r="A149" s="912"/>
      <c r="B149" s="1555"/>
      <c r="C149" s="1555"/>
      <c r="D149" s="288"/>
      <c r="K149" s="1079"/>
      <c r="L149" s="1555"/>
      <c r="M149" s="1555"/>
      <c r="N149" s="1079"/>
      <c r="O149" s="1079"/>
      <c r="P149" s="1079"/>
      <c r="Q149" s="1079"/>
      <c r="R149" s="1555"/>
      <c r="S149" s="1079"/>
      <c r="T149" s="1079"/>
      <c r="U149" s="481"/>
      <c r="V149" s="1079"/>
      <c r="W149" s="1079"/>
      <c r="X149" s="1079"/>
      <c r="Y149" s="1079"/>
      <c r="Z149" s="1079"/>
      <c r="AA149" s="1551"/>
      <c r="AB149" s="503"/>
      <c r="AC149" s="503"/>
      <c r="AD149" s="503"/>
      <c r="AE149" s="503"/>
      <c r="AF149" s="1560">
        <v>11</v>
      </c>
    </row>
    <row r="150" spans="1:32" s="2269" customFormat="1" ht="11.45" customHeight="1">
      <c r="A150" s="912"/>
      <c r="B150" s="1555"/>
      <c r="C150" s="1555"/>
      <c r="D150" s="288"/>
      <c r="K150" s="1079"/>
      <c r="L150" s="1555"/>
      <c r="M150" s="1555"/>
      <c r="N150" s="1079"/>
      <c r="O150" s="1079"/>
      <c r="P150" s="1079"/>
      <c r="Q150" s="1079"/>
      <c r="R150" s="1555"/>
      <c r="S150" s="1079"/>
      <c r="T150" s="1079"/>
      <c r="U150" s="481"/>
      <c r="V150" s="1079"/>
      <c r="W150" s="1079"/>
      <c r="X150" s="1079"/>
      <c r="Y150" s="1079"/>
      <c r="Z150" s="1079"/>
      <c r="AA150" s="1551"/>
      <c r="AB150" s="503"/>
      <c r="AC150" s="503"/>
      <c r="AD150" s="503"/>
      <c r="AE150" s="503"/>
      <c r="AF150" s="1560">
        <v>11</v>
      </c>
    </row>
    <row r="151" spans="1:32" s="2269" customFormat="1" ht="11.45" customHeight="1">
      <c r="A151" s="912"/>
      <c r="B151" s="1555"/>
      <c r="C151" s="1555"/>
      <c r="D151" s="288"/>
      <c r="K151" s="1079"/>
      <c r="L151" s="1555"/>
      <c r="M151" s="1555"/>
      <c r="N151" s="1079"/>
      <c r="O151" s="1079"/>
      <c r="P151" s="1079"/>
      <c r="Q151" s="1079"/>
      <c r="R151" s="1555"/>
      <c r="S151" s="1079"/>
      <c r="T151" s="1079"/>
      <c r="U151" s="481"/>
      <c r="V151" s="1079"/>
      <c r="W151" s="1079"/>
      <c r="X151" s="1079"/>
      <c r="Y151" s="1079"/>
      <c r="Z151" s="1079"/>
      <c r="AA151" s="1551"/>
      <c r="AB151" s="503"/>
      <c r="AC151" s="503"/>
      <c r="AD151" s="503"/>
      <c r="AE151" s="503"/>
      <c r="AF151" s="1560">
        <v>11</v>
      </c>
    </row>
    <row r="152" spans="1:32" s="2269" customFormat="1" ht="11.45" customHeight="1">
      <c r="A152" s="912"/>
      <c r="B152" s="1555"/>
      <c r="C152" s="1555"/>
      <c r="D152" s="288"/>
      <c r="K152" s="1079"/>
      <c r="L152" s="1555"/>
      <c r="M152" s="1555"/>
      <c r="N152" s="1079"/>
      <c r="O152" s="1079"/>
      <c r="P152" s="1079"/>
      <c r="Q152" s="1079"/>
      <c r="R152" s="1555"/>
      <c r="S152" s="1079"/>
      <c r="T152" s="1079"/>
      <c r="U152" s="481"/>
      <c r="V152" s="1079"/>
      <c r="W152" s="1079"/>
      <c r="X152" s="1079"/>
      <c r="Y152" s="1079"/>
      <c r="Z152" s="1079"/>
      <c r="AA152" s="1551"/>
      <c r="AB152" s="503"/>
      <c r="AC152" s="503"/>
      <c r="AD152" s="503"/>
      <c r="AE152" s="503"/>
      <c r="AF152" s="1560">
        <v>11</v>
      </c>
    </row>
    <row r="153" spans="1:32" s="2269" customFormat="1" ht="11.45" customHeight="1">
      <c r="A153" s="912"/>
      <c r="B153" s="1555"/>
      <c r="C153" s="1555"/>
      <c r="D153" s="288"/>
      <c r="K153" s="1079"/>
      <c r="L153" s="1555"/>
      <c r="M153" s="1555"/>
      <c r="N153" s="1079"/>
      <c r="O153" s="1079"/>
      <c r="P153" s="1079"/>
      <c r="Q153" s="1079"/>
      <c r="R153" s="1555"/>
      <c r="S153" s="1079"/>
      <c r="T153" s="1079"/>
      <c r="U153" s="481"/>
      <c r="V153" s="1079"/>
      <c r="W153" s="1079"/>
      <c r="X153" s="1079"/>
      <c r="Y153" s="1079"/>
      <c r="Z153" s="1079"/>
      <c r="AA153" s="1551"/>
      <c r="AB153" s="503"/>
      <c r="AC153" s="503"/>
      <c r="AD153" s="503"/>
      <c r="AE153" s="503"/>
      <c r="AF153" s="1560">
        <v>11</v>
      </c>
    </row>
    <row r="154" spans="1:32" s="2269" customFormat="1" ht="11.45" customHeight="1">
      <c r="A154" s="912"/>
      <c r="B154" s="1555"/>
      <c r="C154" s="1555"/>
      <c r="D154" s="288"/>
      <c r="K154" s="1079"/>
      <c r="L154" s="1555"/>
      <c r="M154" s="1555"/>
      <c r="N154" s="1079"/>
      <c r="O154" s="1079"/>
      <c r="P154" s="1079"/>
      <c r="Q154" s="1079"/>
      <c r="R154" s="1555"/>
      <c r="S154" s="1079"/>
      <c r="T154" s="1079"/>
      <c r="U154" s="481"/>
      <c r="V154" s="1079"/>
      <c r="W154" s="1079"/>
      <c r="X154" s="1079"/>
      <c r="Y154" s="1079"/>
      <c r="Z154" s="1079"/>
      <c r="AA154" s="1551"/>
      <c r="AB154" s="503"/>
      <c r="AC154" s="503"/>
      <c r="AD154" s="503"/>
      <c r="AE154" s="503"/>
      <c r="AF154" s="1560">
        <v>11</v>
      </c>
    </row>
    <row r="155" spans="1:32" s="2269" customFormat="1" ht="11.45" customHeight="1">
      <c r="A155" s="912"/>
      <c r="B155" s="1555"/>
      <c r="C155" s="1555"/>
      <c r="D155" s="288"/>
      <c r="K155" s="1079"/>
      <c r="L155" s="1555"/>
      <c r="M155" s="1555"/>
      <c r="N155" s="1079"/>
      <c r="O155" s="1079"/>
      <c r="P155" s="1079"/>
      <c r="Q155" s="1079"/>
      <c r="R155" s="1555"/>
      <c r="S155" s="1079"/>
      <c r="T155" s="1079"/>
      <c r="U155" s="481"/>
      <c r="V155" s="1079"/>
      <c r="W155" s="1079"/>
      <c r="X155" s="1079"/>
      <c r="Y155" s="1079"/>
      <c r="Z155" s="1079"/>
      <c r="AA155" s="1551"/>
      <c r="AB155" s="503"/>
      <c r="AC155" s="503"/>
      <c r="AD155" s="503"/>
      <c r="AE155" s="503"/>
      <c r="AF155" s="1560">
        <v>11</v>
      </c>
    </row>
    <row r="156" spans="1:32" s="2269" customFormat="1" ht="11.45" customHeight="1">
      <c r="A156" s="912"/>
      <c r="B156" s="1555"/>
      <c r="C156" s="1555"/>
      <c r="D156" s="288"/>
      <c r="K156" s="1079"/>
      <c r="L156" s="1555"/>
      <c r="M156" s="1555"/>
      <c r="N156" s="1079"/>
      <c r="O156" s="1079"/>
      <c r="P156" s="1079"/>
      <c r="Q156" s="1079"/>
      <c r="R156" s="1555"/>
      <c r="S156" s="1079"/>
      <c r="T156" s="1079"/>
      <c r="U156" s="481"/>
      <c r="V156" s="1079"/>
      <c r="W156" s="1079"/>
      <c r="X156" s="1079"/>
      <c r="Y156" s="1079"/>
      <c r="Z156" s="1079"/>
      <c r="AA156" s="1551"/>
      <c r="AB156" s="503"/>
      <c r="AC156" s="503"/>
      <c r="AD156" s="503"/>
      <c r="AE156" s="503"/>
      <c r="AF156" s="1560">
        <v>11</v>
      </c>
    </row>
    <row r="157" spans="1:32" s="2269" customFormat="1" ht="11.45" customHeight="1">
      <c r="A157" s="912"/>
      <c r="B157" s="1555"/>
      <c r="C157" s="1555"/>
      <c r="D157" s="288"/>
      <c r="K157" s="1079"/>
      <c r="L157" s="1555"/>
      <c r="M157" s="1555"/>
      <c r="N157" s="1079"/>
      <c r="O157" s="1079"/>
      <c r="P157" s="1079"/>
      <c r="Q157" s="1079"/>
      <c r="R157" s="1555"/>
      <c r="S157" s="1079"/>
      <c r="T157" s="1079"/>
      <c r="U157" s="481"/>
      <c r="V157" s="1079"/>
      <c r="W157" s="1079"/>
      <c r="X157" s="1079"/>
      <c r="Y157" s="1079"/>
      <c r="Z157" s="1079"/>
      <c r="AA157" s="1551"/>
      <c r="AB157" s="503"/>
      <c r="AC157" s="503"/>
      <c r="AD157" s="503"/>
      <c r="AE157" s="503"/>
      <c r="AF157" s="1560">
        <v>11</v>
      </c>
    </row>
    <row r="158" spans="1:32" s="2269" customFormat="1" ht="11.45" customHeight="1">
      <c r="A158" s="912"/>
      <c r="B158" s="1555"/>
      <c r="C158" s="1555"/>
      <c r="D158" s="288"/>
      <c r="K158" s="1079"/>
      <c r="L158" s="1555"/>
      <c r="M158" s="1555"/>
      <c r="N158" s="1079"/>
      <c r="O158" s="1079"/>
      <c r="P158" s="1079"/>
      <c r="Q158" s="1079"/>
      <c r="R158" s="1555"/>
      <c r="S158" s="1079"/>
      <c r="T158" s="1079"/>
      <c r="U158" s="481"/>
      <c r="V158" s="1079"/>
      <c r="W158" s="1079"/>
      <c r="X158" s="1079"/>
      <c r="Y158" s="1079"/>
      <c r="Z158" s="1079"/>
      <c r="AA158" s="1551"/>
      <c r="AB158" s="503"/>
      <c r="AC158" s="503"/>
      <c r="AD158" s="503"/>
      <c r="AE158" s="503"/>
      <c r="AF158" s="1560">
        <v>11</v>
      </c>
    </row>
    <row r="159" spans="1:32" s="2269" customFormat="1" ht="11.45" customHeight="1">
      <c r="A159" s="912"/>
      <c r="B159" s="1555"/>
      <c r="C159" s="1555"/>
      <c r="D159" s="288"/>
      <c r="K159" s="1079"/>
      <c r="L159" s="1555"/>
      <c r="M159" s="1555"/>
      <c r="N159" s="1079"/>
      <c r="O159" s="1079"/>
      <c r="P159" s="1079"/>
      <c r="Q159" s="1079"/>
      <c r="R159" s="1555"/>
      <c r="S159" s="1079"/>
      <c r="T159" s="1079"/>
      <c r="U159" s="481"/>
      <c r="V159" s="1079"/>
      <c r="W159" s="1079"/>
      <c r="X159" s="1079"/>
      <c r="Y159" s="1079"/>
      <c r="Z159" s="1079"/>
      <c r="AA159" s="1551"/>
      <c r="AB159" s="503"/>
      <c r="AC159" s="503"/>
      <c r="AD159" s="503"/>
      <c r="AE159" s="503"/>
      <c r="AF159" s="1560">
        <v>11</v>
      </c>
    </row>
    <row r="160" spans="1:32" s="2269" customFormat="1" ht="11.45" customHeight="1">
      <c r="A160" s="912"/>
      <c r="B160" s="1555"/>
      <c r="C160" s="1555"/>
      <c r="D160" s="288"/>
      <c r="K160" s="1079"/>
      <c r="L160" s="1555"/>
      <c r="M160" s="1555"/>
      <c r="N160" s="1079"/>
      <c r="O160" s="1079"/>
      <c r="P160" s="1079"/>
      <c r="Q160" s="1079"/>
      <c r="R160" s="1555"/>
      <c r="S160" s="1079"/>
      <c r="T160" s="1079"/>
      <c r="U160" s="481"/>
      <c r="V160" s="1079"/>
      <c r="W160" s="1079"/>
      <c r="X160" s="1079"/>
      <c r="Y160" s="1079"/>
      <c r="Z160" s="1079"/>
      <c r="AA160" s="1551"/>
      <c r="AB160" s="503"/>
      <c r="AC160" s="503"/>
      <c r="AD160" s="503"/>
      <c r="AE160" s="503"/>
      <c r="AF160" s="1560">
        <v>11</v>
      </c>
    </row>
    <row r="161" spans="1:32" s="2269" customFormat="1" ht="11.45" customHeight="1">
      <c r="A161" s="912"/>
      <c r="B161" s="1555"/>
      <c r="C161" s="1555"/>
      <c r="D161" s="288"/>
      <c r="K161" s="1079"/>
      <c r="L161" s="1555"/>
      <c r="M161" s="1555"/>
      <c r="N161" s="1079"/>
      <c r="O161" s="1079"/>
      <c r="P161" s="1079"/>
      <c r="Q161" s="1079"/>
      <c r="R161" s="1555"/>
      <c r="S161" s="1079"/>
      <c r="T161" s="1079"/>
      <c r="U161" s="481"/>
      <c r="V161" s="1079"/>
      <c r="W161" s="1079"/>
      <c r="X161" s="1079"/>
      <c r="Y161" s="1079"/>
      <c r="Z161" s="1079"/>
      <c r="AA161" s="1551"/>
      <c r="AB161" s="503"/>
      <c r="AC161" s="503"/>
      <c r="AD161" s="503"/>
      <c r="AE161" s="503"/>
      <c r="AF161" s="1560">
        <v>11</v>
      </c>
    </row>
    <row r="162" spans="1:32" s="2269" customFormat="1" ht="11.45" customHeight="1">
      <c r="A162" s="912"/>
      <c r="B162" s="1555"/>
      <c r="C162" s="1555"/>
      <c r="D162" s="288"/>
      <c r="K162" s="1079"/>
      <c r="L162" s="1555"/>
      <c r="M162" s="1555"/>
      <c r="N162" s="1079"/>
      <c r="O162" s="1079"/>
      <c r="P162" s="1079"/>
      <c r="Q162" s="1079"/>
      <c r="R162" s="1555"/>
      <c r="S162" s="1079"/>
      <c r="T162" s="1079"/>
      <c r="U162" s="481"/>
      <c r="V162" s="1079"/>
      <c r="W162" s="1079"/>
      <c r="X162" s="1079"/>
      <c r="Y162" s="1079"/>
      <c r="Z162" s="1079"/>
      <c r="AA162" s="1551"/>
      <c r="AB162" s="503"/>
      <c r="AC162" s="503"/>
      <c r="AD162" s="503"/>
      <c r="AE162" s="503"/>
      <c r="AF162" s="1560">
        <v>11</v>
      </c>
    </row>
    <row r="163" spans="1:32" s="2269" customFormat="1" ht="11.45" customHeight="1">
      <c r="A163" s="912"/>
      <c r="B163" s="1555"/>
      <c r="C163" s="1555"/>
      <c r="D163" s="288"/>
      <c r="K163" s="1079"/>
      <c r="L163" s="1555"/>
      <c r="M163" s="1555"/>
      <c r="N163" s="1079"/>
      <c r="O163" s="1079"/>
      <c r="P163" s="1079"/>
      <c r="Q163" s="1079"/>
      <c r="R163" s="1555"/>
      <c r="S163" s="1079"/>
      <c r="T163" s="1079"/>
      <c r="U163" s="481"/>
      <c r="V163" s="1079"/>
      <c r="W163" s="1079"/>
      <c r="X163" s="1079"/>
      <c r="Y163" s="1079"/>
      <c r="Z163" s="1079"/>
      <c r="AA163" s="1551"/>
      <c r="AB163" s="503"/>
      <c r="AC163" s="503"/>
      <c r="AD163" s="503"/>
      <c r="AE163" s="503"/>
      <c r="AF163" s="1560">
        <v>11</v>
      </c>
    </row>
    <row r="164" spans="1:32" s="2269" customFormat="1" ht="11.45" customHeight="1">
      <c r="A164" s="912"/>
      <c r="B164" s="1555"/>
      <c r="C164" s="1555"/>
      <c r="D164" s="288"/>
      <c r="K164" s="1079"/>
      <c r="L164" s="1555"/>
      <c r="M164" s="1555"/>
      <c r="N164" s="1079"/>
      <c r="O164" s="1079"/>
      <c r="P164" s="1079"/>
      <c r="Q164" s="1079"/>
      <c r="R164" s="1555"/>
      <c r="S164" s="1079"/>
      <c r="T164" s="1079"/>
      <c r="U164" s="481"/>
      <c r="V164" s="1079"/>
      <c r="W164" s="1079"/>
      <c r="X164" s="1079"/>
      <c r="Y164" s="1079"/>
      <c r="Z164" s="1079"/>
      <c r="AA164" s="1551"/>
      <c r="AB164" s="503"/>
      <c r="AC164" s="503"/>
      <c r="AD164" s="503"/>
      <c r="AE164" s="503"/>
      <c r="AF164" s="1560">
        <v>11</v>
      </c>
    </row>
    <row r="165" spans="1:32" s="2269" customFormat="1" ht="11.45" customHeight="1">
      <c r="A165" s="912"/>
      <c r="B165" s="1555"/>
      <c r="C165" s="1555"/>
      <c r="D165" s="288"/>
      <c r="K165" s="1079"/>
      <c r="L165" s="1555"/>
      <c r="M165" s="1555"/>
      <c r="N165" s="1079"/>
      <c r="O165" s="1079"/>
      <c r="P165" s="1079"/>
      <c r="Q165" s="1079"/>
      <c r="R165" s="1555"/>
      <c r="S165" s="1079"/>
      <c r="T165" s="1079"/>
      <c r="U165" s="481"/>
      <c r="V165" s="1079"/>
      <c r="W165" s="1079"/>
      <c r="X165" s="1079"/>
      <c r="Y165" s="1079"/>
      <c r="Z165" s="1079"/>
      <c r="AA165" s="1551"/>
      <c r="AB165" s="503"/>
      <c r="AC165" s="503"/>
      <c r="AD165" s="503"/>
      <c r="AE165" s="503"/>
      <c r="AF165" s="1560">
        <v>11</v>
      </c>
    </row>
    <row r="166" spans="1:32" s="2269" customFormat="1" ht="11.45" customHeight="1">
      <c r="A166" s="912"/>
      <c r="B166" s="1555"/>
      <c r="C166" s="1555"/>
      <c r="D166" s="288"/>
      <c r="K166" s="1079"/>
      <c r="L166" s="1555"/>
      <c r="M166" s="1555"/>
      <c r="N166" s="1079"/>
      <c r="O166" s="1079"/>
      <c r="P166" s="1079"/>
      <c r="Q166" s="1079"/>
      <c r="R166" s="1555"/>
      <c r="S166" s="1079"/>
      <c r="T166" s="1079"/>
      <c r="U166" s="481"/>
      <c r="V166" s="1079"/>
      <c r="W166" s="1079"/>
      <c r="X166" s="1079"/>
      <c r="Y166" s="1079"/>
      <c r="Z166" s="1079"/>
      <c r="AA166" s="1551"/>
      <c r="AB166" s="503"/>
      <c r="AC166" s="503"/>
      <c r="AD166" s="503"/>
      <c r="AE166" s="503"/>
      <c r="AF166" s="1560">
        <v>11</v>
      </c>
    </row>
    <row r="167" spans="1:32" s="2269" customFormat="1" ht="11.45" customHeight="1">
      <c r="A167" s="912"/>
      <c r="B167" s="1555"/>
      <c r="C167" s="1555"/>
      <c r="D167" s="288"/>
      <c r="K167" s="1079"/>
      <c r="L167" s="1555"/>
      <c r="M167" s="1555"/>
      <c r="N167" s="1079"/>
      <c r="O167" s="1079"/>
      <c r="P167" s="1079"/>
      <c r="Q167" s="1079"/>
      <c r="R167" s="1555"/>
      <c r="S167" s="1079"/>
      <c r="T167" s="1079"/>
      <c r="U167" s="481"/>
      <c r="V167" s="1079"/>
      <c r="W167" s="1079"/>
      <c r="X167" s="1079"/>
      <c r="Y167" s="1079"/>
      <c r="Z167" s="1079"/>
      <c r="AA167" s="1551"/>
      <c r="AB167" s="503"/>
      <c r="AC167" s="503"/>
      <c r="AD167" s="503"/>
      <c r="AE167" s="503"/>
      <c r="AF167" s="1560">
        <v>11</v>
      </c>
    </row>
    <row r="168" spans="1:32" s="2269" customFormat="1" ht="11.45" customHeight="1">
      <c r="A168" s="912"/>
      <c r="B168" s="1555"/>
      <c r="C168" s="1555"/>
      <c r="D168" s="288"/>
      <c r="K168" s="1079"/>
      <c r="L168" s="1555"/>
      <c r="M168" s="1555"/>
      <c r="N168" s="1079"/>
      <c r="O168" s="1079"/>
      <c r="P168" s="1079"/>
      <c r="Q168" s="1079"/>
      <c r="R168" s="1555"/>
      <c r="S168" s="1079"/>
      <c r="T168" s="1079"/>
      <c r="U168" s="481"/>
      <c r="V168" s="1079"/>
      <c r="W168" s="1079"/>
      <c r="X168" s="1079"/>
      <c r="Y168" s="1079"/>
      <c r="Z168" s="1079"/>
      <c r="AA168" s="1551"/>
      <c r="AB168" s="503"/>
      <c r="AC168" s="503"/>
      <c r="AD168" s="503"/>
      <c r="AE168" s="503"/>
      <c r="AF168" s="1560">
        <v>11</v>
      </c>
    </row>
    <row r="169" spans="1:32" s="2269" customFormat="1" ht="11.45" customHeight="1">
      <c r="A169" s="912"/>
      <c r="B169" s="1555"/>
      <c r="C169" s="1555"/>
      <c r="D169" s="288"/>
      <c r="K169" s="1079"/>
      <c r="L169" s="1555"/>
      <c r="M169" s="1555"/>
      <c r="N169" s="1079"/>
      <c r="O169" s="1079"/>
      <c r="P169" s="1079"/>
      <c r="Q169" s="1079"/>
      <c r="R169" s="1555"/>
      <c r="S169" s="1079"/>
      <c r="T169" s="1079"/>
      <c r="U169" s="481"/>
      <c r="V169" s="1079"/>
      <c r="W169" s="1079"/>
      <c r="X169" s="1079"/>
      <c r="Y169" s="1079"/>
      <c r="Z169" s="1079"/>
      <c r="AA169" s="1551"/>
      <c r="AB169" s="503"/>
      <c r="AC169" s="503"/>
      <c r="AD169" s="503"/>
      <c r="AE169" s="503"/>
      <c r="AF169" s="1560">
        <v>11</v>
      </c>
    </row>
    <row r="170" spans="1:32" s="2269" customFormat="1" ht="11.45" customHeight="1">
      <c r="A170" s="912"/>
      <c r="B170" s="1555"/>
      <c r="C170" s="1555"/>
      <c r="D170" s="288"/>
      <c r="K170" s="1079"/>
      <c r="L170" s="1555"/>
      <c r="M170" s="1555"/>
      <c r="N170" s="1079"/>
      <c r="O170" s="1079"/>
      <c r="P170" s="1079"/>
      <c r="Q170" s="1079"/>
      <c r="R170" s="1555"/>
      <c r="S170" s="1079"/>
      <c r="T170" s="1079"/>
      <c r="U170" s="481"/>
      <c r="V170" s="1079"/>
      <c r="W170" s="1079"/>
      <c r="X170" s="1079"/>
      <c r="Y170" s="1079"/>
      <c r="Z170" s="1079"/>
      <c r="AA170" s="1551"/>
      <c r="AB170" s="503"/>
      <c r="AC170" s="503"/>
      <c r="AD170" s="503"/>
      <c r="AE170" s="503"/>
      <c r="AF170" s="1560">
        <v>11</v>
      </c>
    </row>
    <row r="171" spans="1:32" s="2269" customFormat="1" ht="11.45" customHeight="1">
      <c r="A171" s="912"/>
      <c r="B171" s="1555"/>
      <c r="C171" s="1555"/>
      <c r="D171" s="288"/>
      <c r="K171" s="1079"/>
      <c r="L171" s="1555"/>
      <c r="M171" s="1555"/>
      <c r="N171" s="1079"/>
      <c r="O171" s="1079"/>
      <c r="P171" s="1079"/>
      <c r="Q171" s="1079"/>
      <c r="R171" s="1555"/>
      <c r="S171" s="1079"/>
      <c r="T171" s="1079"/>
      <c r="U171" s="481"/>
      <c r="V171" s="1079"/>
      <c r="W171" s="1079"/>
      <c r="X171" s="1079"/>
      <c r="Y171" s="1079"/>
      <c r="Z171" s="1079"/>
      <c r="AA171" s="1551"/>
      <c r="AB171" s="503"/>
      <c r="AC171" s="503"/>
      <c r="AD171" s="503"/>
      <c r="AE171" s="503"/>
      <c r="AF171" s="1560">
        <v>11</v>
      </c>
    </row>
    <row r="172" spans="1:32" s="2269" customFormat="1" ht="11.45" customHeight="1">
      <c r="A172" s="912"/>
      <c r="B172" s="1555"/>
      <c r="C172" s="1555"/>
      <c r="D172" s="288"/>
      <c r="K172" s="1079"/>
      <c r="L172" s="1555"/>
      <c r="M172" s="1555"/>
      <c r="N172" s="1079"/>
      <c r="O172" s="1079"/>
      <c r="P172" s="1079"/>
      <c r="Q172" s="1079"/>
      <c r="R172" s="1555"/>
      <c r="S172" s="1079"/>
      <c r="T172" s="1079"/>
      <c r="U172" s="481"/>
      <c r="V172" s="1079"/>
      <c r="W172" s="1079"/>
      <c r="X172" s="1079"/>
      <c r="Y172" s="1079"/>
      <c r="Z172" s="1079"/>
      <c r="AA172" s="1551"/>
      <c r="AB172" s="503"/>
      <c r="AC172" s="503"/>
      <c r="AD172" s="503"/>
      <c r="AE172" s="503"/>
      <c r="AF172" s="1560">
        <v>11</v>
      </c>
    </row>
    <row r="173" spans="1:32" s="2269" customFormat="1" ht="11.45" customHeight="1">
      <c r="A173" s="912"/>
      <c r="B173" s="1555"/>
      <c r="C173" s="1555"/>
      <c r="D173" s="288"/>
      <c r="K173" s="1079"/>
      <c r="L173" s="1555"/>
      <c r="M173" s="1555"/>
      <c r="N173" s="1079"/>
      <c r="O173" s="1079"/>
      <c r="P173" s="1079"/>
      <c r="Q173" s="1079"/>
      <c r="R173" s="1555"/>
      <c r="S173" s="1079"/>
      <c r="T173" s="1079"/>
      <c r="U173" s="481"/>
      <c r="V173" s="1079"/>
      <c r="W173" s="1079"/>
      <c r="X173" s="1079"/>
      <c r="Y173" s="1079"/>
      <c r="Z173" s="1079"/>
      <c r="AA173" s="1551"/>
      <c r="AB173" s="503"/>
      <c r="AC173" s="503"/>
      <c r="AD173" s="503"/>
      <c r="AE173" s="503"/>
      <c r="AF173" s="1560">
        <v>11</v>
      </c>
    </row>
    <row r="174" spans="1:32" s="2269" customFormat="1" ht="11.45" customHeight="1">
      <c r="A174" s="912"/>
      <c r="B174" s="1555"/>
      <c r="C174" s="1555"/>
      <c r="D174" s="288"/>
      <c r="K174" s="1079"/>
      <c r="L174" s="1555"/>
      <c r="M174" s="1555"/>
      <c r="N174" s="1079"/>
      <c r="O174" s="1079"/>
      <c r="P174" s="1079"/>
      <c r="Q174" s="1079"/>
      <c r="R174" s="1555"/>
      <c r="S174" s="1079"/>
      <c r="T174" s="1079"/>
      <c r="U174" s="481"/>
      <c r="V174" s="1079"/>
      <c r="W174" s="1079"/>
      <c r="X174" s="1079"/>
      <c r="Y174" s="1079"/>
      <c r="Z174" s="1079"/>
      <c r="AA174" s="1551"/>
      <c r="AB174" s="503"/>
      <c r="AC174" s="503"/>
      <c r="AD174" s="503"/>
      <c r="AE174" s="503"/>
      <c r="AF174" s="1560">
        <v>11</v>
      </c>
    </row>
    <row r="175" spans="1:32" s="2269" customFormat="1" ht="11.45" customHeight="1">
      <c r="A175" s="912"/>
      <c r="B175" s="1555"/>
      <c r="C175" s="1555"/>
      <c r="D175" s="288"/>
      <c r="K175" s="1079"/>
      <c r="L175" s="1555"/>
      <c r="M175" s="1555"/>
      <c r="N175" s="1079"/>
      <c r="O175" s="1079"/>
      <c r="P175" s="1079"/>
      <c r="Q175" s="1079"/>
      <c r="R175" s="1555"/>
      <c r="S175" s="1079"/>
      <c r="T175" s="1079"/>
      <c r="U175" s="481"/>
      <c r="V175" s="1079"/>
      <c r="W175" s="1079"/>
      <c r="X175" s="1079"/>
      <c r="Y175" s="1079"/>
      <c r="Z175" s="1079"/>
      <c r="AA175" s="1551"/>
      <c r="AB175" s="503"/>
      <c r="AC175" s="503"/>
      <c r="AD175" s="503"/>
      <c r="AE175" s="503"/>
      <c r="AF175" s="1560">
        <v>11</v>
      </c>
    </row>
    <row r="176" spans="1:32" s="2269" customFormat="1" ht="11.45" customHeight="1">
      <c r="A176" s="912"/>
      <c r="B176" s="1555"/>
      <c r="C176" s="1555"/>
      <c r="D176" s="288"/>
      <c r="K176" s="1079"/>
      <c r="L176" s="1555"/>
      <c r="M176" s="1555"/>
      <c r="N176" s="1079"/>
      <c r="O176" s="1079"/>
      <c r="P176" s="1079"/>
      <c r="Q176" s="1079"/>
      <c r="R176" s="1555"/>
      <c r="S176" s="1079"/>
      <c r="T176" s="1079"/>
      <c r="U176" s="481"/>
      <c r="V176" s="1079"/>
      <c r="W176" s="1079"/>
      <c r="X176" s="1079"/>
      <c r="Y176" s="1079"/>
      <c r="Z176" s="1079"/>
      <c r="AA176" s="1551"/>
      <c r="AB176" s="503"/>
      <c r="AC176" s="503"/>
      <c r="AD176" s="503"/>
      <c r="AE176" s="503"/>
      <c r="AF176" s="1560">
        <v>11</v>
      </c>
    </row>
    <row r="177" spans="1:32" s="2269" customFormat="1" ht="11.45" customHeight="1">
      <c r="A177" s="912"/>
      <c r="B177" s="1555"/>
      <c r="C177" s="1555"/>
      <c r="D177" s="288"/>
      <c r="K177" s="1079"/>
      <c r="L177" s="1555"/>
      <c r="M177" s="1555"/>
      <c r="N177" s="1079"/>
      <c r="O177" s="1079"/>
      <c r="P177" s="1079"/>
      <c r="Q177" s="1079"/>
      <c r="R177" s="1555"/>
      <c r="S177" s="1079"/>
      <c r="T177" s="1079"/>
      <c r="U177" s="481"/>
      <c r="V177" s="1079"/>
      <c r="W177" s="1079"/>
      <c r="X177" s="1079"/>
      <c r="Y177" s="1079"/>
      <c r="Z177" s="1079"/>
      <c r="AA177" s="1551"/>
      <c r="AB177" s="503"/>
      <c r="AC177" s="503"/>
      <c r="AD177" s="503"/>
      <c r="AE177" s="503"/>
      <c r="AF177" s="1560">
        <v>11</v>
      </c>
    </row>
    <row r="178" spans="1:32" s="2269" customFormat="1" ht="11.45" customHeight="1">
      <c r="A178" s="912"/>
      <c r="B178" s="1555"/>
      <c r="C178" s="1555"/>
      <c r="D178" s="288"/>
      <c r="K178" s="1079"/>
      <c r="L178" s="1555"/>
      <c r="M178" s="1555"/>
      <c r="N178" s="1079"/>
      <c r="O178" s="1079"/>
      <c r="P178" s="1079"/>
      <c r="Q178" s="1079"/>
      <c r="R178" s="1555"/>
      <c r="S178" s="1079"/>
      <c r="T178" s="1079"/>
      <c r="U178" s="481"/>
      <c r="V178" s="1079"/>
      <c r="W178" s="1079"/>
      <c r="X178" s="1079"/>
      <c r="Y178" s="1079"/>
      <c r="Z178" s="1079"/>
      <c r="AA178" s="1551"/>
      <c r="AB178" s="503"/>
      <c r="AC178" s="503"/>
      <c r="AD178" s="503"/>
      <c r="AE178" s="503"/>
      <c r="AF178" s="1560">
        <v>11</v>
      </c>
    </row>
    <row r="179" spans="1:32" s="2269" customFormat="1" ht="11.45" customHeight="1">
      <c r="A179" s="912"/>
      <c r="B179" s="1555"/>
      <c r="C179" s="1555"/>
      <c r="D179" s="288"/>
      <c r="K179" s="1079"/>
      <c r="L179" s="1555"/>
      <c r="M179" s="1555"/>
      <c r="N179" s="1079"/>
      <c r="O179" s="1079"/>
      <c r="P179" s="1079"/>
      <c r="Q179" s="1079"/>
      <c r="R179" s="1555"/>
      <c r="S179" s="1079"/>
      <c r="T179" s="1079"/>
      <c r="U179" s="481"/>
      <c r="V179" s="1079"/>
      <c r="W179" s="1079"/>
      <c r="X179" s="1079"/>
      <c r="Y179" s="1079"/>
      <c r="Z179" s="1079"/>
      <c r="AA179" s="1551"/>
      <c r="AB179" s="503"/>
      <c r="AC179" s="503"/>
      <c r="AD179" s="503"/>
      <c r="AE179" s="503"/>
      <c r="AF179" s="1560">
        <v>11</v>
      </c>
    </row>
    <row r="180" spans="1:32" s="2269" customFormat="1" ht="11.45" customHeight="1">
      <c r="A180" s="912"/>
      <c r="B180" s="1555"/>
      <c r="C180" s="1555"/>
      <c r="D180" s="288"/>
      <c r="K180" s="1079"/>
      <c r="L180" s="1555"/>
      <c r="M180" s="1555"/>
      <c r="N180" s="1079"/>
      <c r="O180" s="1079"/>
      <c r="P180" s="1079"/>
      <c r="Q180" s="1079"/>
      <c r="R180" s="1555"/>
      <c r="S180" s="1079"/>
      <c r="T180" s="1079"/>
      <c r="U180" s="481"/>
      <c r="V180" s="1079"/>
      <c r="W180" s="1079"/>
      <c r="X180" s="1079"/>
      <c r="Y180" s="1079"/>
      <c r="Z180" s="1079"/>
      <c r="AA180" s="1551"/>
      <c r="AB180" s="503"/>
      <c r="AC180" s="503"/>
      <c r="AD180" s="503"/>
      <c r="AE180" s="503"/>
      <c r="AF180" s="1560">
        <v>11</v>
      </c>
    </row>
    <row r="181" spans="1:32" s="2269" customFormat="1" ht="11.45" customHeight="1">
      <c r="A181" s="912"/>
      <c r="B181" s="1555"/>
      <c r="C181" s="1555"/>
      <c r="D181" s="288"/>
      <c r="K181" s="1079"/>
      <c r="L181" s="1555"/>
      <c r="M181" s="1555"/>
      <c r="N181" s="1079"/>
      <c r="O181" s="1079"/>
      <c r="P181" s="1079"/>
      <c r="Q181" s="1079"/>
      <c r="R181" s="1555"/>
      <c r="S181" s="1079"/>
      <c r="T181" s="1079"/>
      <c r="U181" s="481"/>
      <c r="V181" s="1079"/>
      <c r="W181" s="1079"/>
      <c r="X181" s="1079"/>
      <c r="Y181" s="1079"/>
      <c r="Z181" s="1079"/>
      <c r="AA181" s="1551"/>
      <c r="AB181" s="503"/>
      <c r="AC181" s="503"/>
      <c r="AD181" s="503"/>
      <c r="AE181" s="503"/>
      <c r="AF181" s="1560">
        <v>11</v>
      </c>
    </row>
    <row r="182" spans="1:32" s="2269" customFormat="1" ht="11.45" customHeight="1">
      <c r="A182" s="912"/>
      <c r="B182" s="1555"/>
      <c r="C182" s="1555"/>
      <c r="D182" s="288"/>
      <c r="K182" s="1079"/>
      <c r="L182" s="1555"/>
      <c r="M182" s="1555"/>
      <c r="N182" s="1079"/>
      <c r="O182" s="1079"/>
      <c r="P182" s="1079"/>
      <c r="Q182" s="1079"/>
      <c r="R182" s="1555"/>
      <c r="S182" s="1079"/>
      <c r="T182" s="1079"/>
      <c r="U182" s="481"/>
      <c r="V182" s="1079"/>
      <c r="W182" s="1079"/>
      <c r="X182" s="1079"/>
      <c r="Y182" s="1079"/>
      <c r="Z182" s="1079"/>
      <c r="AA182" s="1551"/>
      <c r="AB182" s="503"/>
      <c r="AC182" s="503"/>
      <c r="AD182" s="503"/>
      <c r="AE182" s="503"/>
      <c r="AF182" s="1560">
        <v>11</v>
      </c>
    </row>
    <row r="183" spans="1:32" s="2269" customFormat="1" ht="11.45" customHeight="1">
      <c r="A183" s="912"/>
      <c r="B183" s="1555"/>
      <c r="C183" s="1555"/>
      <c r="D183" s="288"/>
      <c r="K183" s="1079"/>
      <c r="L183" s="1555"/>
      <c r="M183" s="1555"/>
      <c r="N183" s="1079"/>
      <c r="O183" s="1079"/>
      <c r="P183" s="1079"/>
      <c r="Q183" s="1079"/>
      <c r="R183" s="1555"/>
      <c r="S183" s="1079"/>
      <c r="T183" s="1079"/>
      <c r="U183" s="481"/>
      <c r="V183" s="1079"/>
      <c r="W183" s="1079"/>
      <c r="X183" s="1079"/>
      <c r="Y183" s="1079"/>
      <c r="Z183" s="1079"/>
      <c r="AA183" s="1551"/>
      <c r="AB183" s="503"/>
      <c r="AC183" s="503"/>
      <c r="AD183" s="503"/>
      <c r="AE183" s="503"/>
      <c r="AF183" s="1560">
        <v>11</v>
      </c>
    </row>
    <row r="184" spans="1:32" s="2269" customFormat="1" ht="11.45" customHeight="1">
      <c r="A184" s="912"/>
      <c r="B184" s="1555"/>
      <c r="C184" s="1555"/>
      <c r="D184" s="288"/>
      <c r="K184" s="1079"/>
      <c r="L184" s="1555"/>
      <c r="M184" s="1555"/>
      <c r="N184" s="1079"/>
      <c r="O184" s="1079"/>
      <c r="P184" s="1079"/>
      <c r="Q184" s="1079"/>
      <c r="R184" s="1555"/>
      <c r="S184" s="1079"/>
      <c r="T184" s="1079"/>
      <c r="U184" s="481"/>
      <c r="V184" s="1079"/>
      <c r="W184" s="1079"/>
      <c r="X184" s="1079"/>
      <c r="Y184" s="1079"/>
      <c r="Z184" s="1079"/>
      <c r="AA184" s="1551"/>
      <c r="AB184" s="503"/>
      <c r="AC184" s="503"/>
      <c r="AD184" s="503"/>
      <c r="AE184" s="503"/>
      <c r="AF184" s="1560">
        <v>11</v>
      </c>
    </row>
    <row r="185" spans="1:32" s="2269" customFormat="1" ht="11.45" customHeight="1">
      <c r="A185" s="912"/>
      <c r="B185" s="1555"/>
      <c r="C185" s="1555"/>
      <c r="D185" s="288"/>
      <c r="K185" s="1079"/>
      <c r="L185" s="1555"/>
      <c r="M185" s="1555"/>
      <c r="N185" s="1079"/>
      <c r="O185" s="1079"/>
      <c r="P185" s="1079"/>
      <c r="Q185" s="1079"/>
      <c r="R185" s="1555"/>
      <c r="S185" s="1079"/>
      <c r="T185" s="1079"/>
      <c r="U185" s="481"/>
      <c r="V185" s="1079"/>
      <c r="W185" s="1079"/>
      <c r="X185" s="1079"/>
      <c r="Y185" s="1079"/>
      <c r="Z185" s="1079"/>
      <c r="AA185" s="1551"/>
      <c r="AB185" s="503"/>
      <c r="AC185" s="503"/>
      <c r="AD185" s="503"/>
      <c r="AE185" s="503"/>
      <c r="AF185" s="1560">
        <v>11</v>
      </c>
    </row>
    <row r="186" spans="1:32" s="2269" customFormat="1" ht="11.45" customHeight="1">
      <c r="A186" s="912"/>
      <c r="B186" s="1555"/>
      <c r="C186" s="1555"/>
      <c r="D186" s="288"/>
      <c r="K186" s="1079"/>
      <c r="L186" s="1555"/>
      <c r="M186" s="1555"/>
      <c r="N186" s="1079"/>
      <c r="O186" s="1079"/>
      <c r="P186" s="1079"/>
      <c r="Q186" s="1079"/>
      <c r="R186" s="1555"/>
      <c r="S186" s="1079"/>
      <c r="T186" s="1079"/>
      <c r="U186" s="481"/>
      <c r="V186" s="1079"/>
      <c r="W186" s="1079"/>
      <c r="X186" s="1079"/>
      <c r="Y186" s="1079"/>
      <c r="Z186" s="1079"/>
      <c r="AA186" s="1551"/>
      <c r="AB186" s="503"/>
      <c r="AC186" s="503"/>
      <c r="AD186" s="503"/>
      <c r="AE186" s="503"/>
      <c r="AF186" s="1560">
        <v>11</v>
      </c>
    </row>
    <row r="187" spans="1:32" s="2269" customFormat="1" ht="11.45" customHeight="1">
      <c r="A187" s="912"/>
      <c r="B187" s="1555"/>
      <c r="C187" s="1555"/>
      <c r="D187" s="288"/>
      <c r="K187" s="1079"/>
      <c r="L187" s="1555"/>
      <c r="M187" s="1555"/>
      <c r="N187" s="1079"/>
      <c r="O187" s="1079"/>
      <c r="P187" s="1079"/>
      <c r="Q187" s="1079"/>
      <c r="R187" s="1555"/>
      <c r="S187" s="1079"/>
      <c r="T187" s="1079"/>
      <c r="U187" s="481"/>
      <c r="V187" s="1079"/>
      <c r="W187" s="1079"/>
      <c r="X187" s="1079"/>
      <c r="Y187" s="1079"/>
      <c r="Z187" s="1079"/>
      <c r="AA187" s="1551"/>
      <c r="AB187" s="503"/>
      <c r="AC187" s="503"/>
      <c r="AD187" s="503"/>
      <c r="AE187" s="503"/>
      <c r="AF187" s="1560">
        <v>11</v>
      </c>
    </row>
    <row r="188" spans="1:32" s="2269" customFormat="1" ht="11.45" customHeight="1">
      <c r="A188" s="912"/>
      <c r="B188" s="1555"/>
      <c r="C188" s="1555"/>
      <c r="D188" s="288"/>
      <c r="K188" s="1079"/>
      <c r="L188" s="1555"/>
      <c r="M188" s="1555"/>
      <c r="N188" s="1079"/>
      <c r="O188" s="1079"/>
      <c r="P188" s="1079"/>
      <c r="Q188" s="1079"/>
      <c r="R188" s="1555"/>
      <c r="S188" s="1079"/>
      <c r="T188" s="1079"/>
      <c r="U188" s="481"/>
      <c r="V188" s="1079"/>
      <c r="W188" s="1079"/>
      <c r="X188" s="1079"/>
      <c r="Y188" s="1079"/>
      <c r="Z188" s="1079"/>
      <c r="AA188" s="1551"/>
      <c r="AB188" s="503"/>
      <c r="AC188" s="503"/>
      <c r="AD188" s="503"/>
      <c r="AE188" s="503"/>
      <c r="AF188" s="1560">
        <v>11</v>
      </c>
    </row>
    <row r="189" spans="1:32" s="2269" customFormat="1" ht="11.45" customHeight="1">
      <c r="A189" s="912"/>
      <c r="B189" s="1555"/>
      <c r="C189" s="1555"/>
      <c r="D189" s="288"/>
      <c r="K189" s="1079"/>
      <c r="L189" s="1555"/>
      <c r="M189" s="1555"/>
      <c r="N189" s="1079"/>
      <c r="O189" s="1079"/>
      <c r="P189" s="1079"/>
      <c r="Q189" s="1079"/>
      <c r="R189" s="1555"/>
      <c r="S189" s="1079"/>
      <c r="T189" s="1079"/>
      <c r="U189" s="481"/>
      <c r="V189" s="1079"/>
      <c r="W189" s="1079"/>
      <c r="X189" s="1079"/>
      <c r="Y189" s="1079"/>
      <c r="Z189" s="1079"/>
      <c r="AA189" s="1551"/>
      <c r="AB189" s="503"/>
      <c r="AC189" s="503"/>
      <c r="AD189" s="503"/>
      <c r="AE189" s="503"/>
      <c r="AF189" s="1560">
        <v>11</v>
      </c>
    </row>
    <row r="190" spans="1:32" s="2269" customFormat="1" ht="11.45" customHeight="1">
      <c r="A190" s="912"/>
      <c r="B190" s="1555"/>
      <c r="C190" s="1555"/>
      <c r="D190" s="288"/>
      <c r="K190" s="1079"/>
      <c r="L190" s="1555"/>
      <c r="M190" s="1555"/>
      <c r="N190" s="1079"/>
      <c r="O190" s="1079"/>
      <c r="P190" s="1079"/>
      <c r="Q190" s="1079"/>
      <c r="R190" s="1555"/>
      <c r="S190" s="1079"/>
      <c r="T190" s="1079"/>
      <c r="U190" s="481"/>
      <c r="V190" s="1079"/>
      <c r="W190" s="1079"/>
      <c r="X190" s="1079"/>
      <c r="Y190" s="1079"/>
      <c r="Z190" s="1079"/>
      <c r="AA190" s="1551"/>
      <c r="AB190" s="503"/>
      <c r="AC190" s="503"/>
      <c r="AD190" s="503"/>
      <c r="AE190" s="503"/>
      <c r="AF190" s="1560">
        <v>11</v>
      </c>
    </row>
    <row r="191" spans="1:32" s="2269" customFormat="1" ht="11.45" customHeight="1">
      <c r="A191" s="912"/>
      <c r="B191" s="1555"/>
      <c r="C191" s="1555"/>
      <c r="D191" s="288"/>
      <c r="K191" s="1079"/>
      <c r="L191" s="1555"/>
      <c r="M191" s="1555"/>
      <c r="N191" s="1079"/>
      <c r="O191" s="1079"/>
      <c r="P191" s="1079"/>
      <c r="Q191" s="1079"/>
      <c r="R191" s="1555"/>
      <c r="S191" s="1079"/>
      <c r="T191" s="1079"/>
      <c r="U191" s="481"/>
      <c r="V191" s="1079"/>
      <c r="W191" s="1079"/>
      <c r="X191" s="1079"/>
      <c r="Y191" s="1079"/>
      <c r="Z191" s="1079"/>
      <c r="AA191" s="1551"/>
      <c r="AB191" s="503"/>
      <c r="AC191" s="503"/>
      <c r="AD191" s="503"/>
      <c r="AE191" s="503"/>
      <c r="AF191" s="1560">
        <v>11</v>
      </c>
    </row>
    <row r="192" spans="1:32" s="2269" customFormat="1" ht="11.45" customHeight="1">
      <c r="A192" s="912"/>
      <c r="B192" s="1555"/>
      <c r="C192" s="1555"/>
      <c r="D192" s="288"/>
      <c r="K192" s="1079"/>
      <c r="L192" s="1555"/>
      <c r="M192" s="1555"/>
      <c r="N192" s="1079"/>
      <c r="O192" s="1079"/>
      <c r="P192" s="1079"/>
      <c r="Q192" s="1079"/>
      <c r="R192" s="1555"/>
      <c r="S192" s="1079"/>
      <c r="T192" s="1079"/>
      <c r="U192" s="481"/>
      <c r="V192" s="1079"/>
      <c r="W192" s="1079"/>
      <c r="X192" s="1079"/>
      <c r="Y192" s="1079"/>
      <c r="Z192" s="1079"/>
      <c r="AA192" s="1551"/>
      <c r="AB192" s="503"/>
      <c r="AC192" s="503"/>
      <c r="AD192" s="503"/>
      <c r="AE192" s="503"/>
      <c r="AF192" s="1560">
        <v>11</v>
      </c>
    </row>
    <row r="193" spans="1:32" s="2269" customFormat="1" ht="11.45" customHeight="1">
      <c r="A193" s="912"/>
      <c r="B193" s="1555"/>
      <c r="C193" s="1555"/>
      <c r="D193" s="288"/>
      <c r="K193" s="1079"/>
      <c r="L193" s="1555"/>
      <c r="M193" s="1555"/>
      <c r="N193" s="1079"/>
      <c r="O193" s="1079"/>
      <c r="P193" s="1079"/>
      <c r="Q193" s="1079"/>
      <c r="R193" s="1555"/>
      <c r="S193" s="1079"/>
      <c r="T193" s="1079"/>
      <c r="U193" s="481"/>
      <c r="V193" s="1079"/>
      <c r="W193" s="1079"/>
      <c r="X193" s="1079"/>
      <c r="Y193" s="1079"/>
      <c r="Z193" s="1079"/>
      <c r="AA193" s="1551"/>
      <c r="AB193" s="503"/>
      <c r="AC193" s="503"/>
      <c r="AD193" s="503"/>
      <c r="AE193" s="503"/>
      <c r="AF193" s="1560">
        <v>11</v>
      </c>
    </row>
    <row r="194" spans="1:32" s="2269" customFormat="1" ht="11.45" customHeight="1">
      <c r="A194" s="912"/>
      <c r="B194" s="1555"/>
      <c r="C194" s="1555"/>
      <c r="D194" s="288"/>
      <c r="K194" s="1079"/>
      <c r="L194" s="1555"/>
      <c r="M194" s="1555"/>
      <c r="N194" s="1079"/>
      <c r="O194" s="1079"/>
      <c r="P194" s="1079"/>
      <c r="Q194" s="1079"/>
      <c r="R194" s="1555"/>
      <c r="S194" s="1079"/>
      <c r="T194" s="1079"/>
      <c r="U194" s="481"/>
      <c r="V194" s="1079"/>
      <c r="W194" s="1079"/>
      <c r="X194" s="1079"/>
      <c r="Y194" s="1079"/>
      <c r="Z194" s="1079"/>
      <c r="AA194" s="1551"/>
      <c r="AB194" s="503"/>
      <c r="AC194" s="503"/>
      <c r="AD194" s="503"/>
      <c r="AE194" s="503"/>
      <c r="AF194" s="1560">
        <v>11</v>
      </c>
    </row>
    <row r="195" spans="1:32" s="2269" customFormat="1" ht="11.45" customHeight="1">
      <c r="A195" s="912"/>
      <c r="B195" s="1555"/>
      <c r="C195" s="1555"/>
      <c r="D195" s="288"/>
      <c r="K195" s="1079"/>
      <c r="L195" s="1555"/>
      <c r="M195" s="1555"/>
      <c r="N195" s="1079"/>
      <c r="O195" s="1079"/>
      <c r="P195" s="1079"/>
      <c r="Q195" s="1079"/>
      <c r="R195" s="1555"/>
      <c r="S195" s="1079"/>
      <c r="T195" s="1079"/>
      <c r="U195" s="481"/>
      <c r="V195" s="1079"/>
      <c r="W195" s="1079"/>
      <c r="X195" s="1079"/>
      <c r="Y195" s="1079"/>
      <c r="Z195" s="1079"/>
      <c r="AA195" s="1551"/>
      <c r="AB195" s="503"/>
      <c r="AC195" s="503"/>
      <c r="AD195" s="503"/>
      <c r="AE195" s="503"/>
      <c r="AF195" s="1560">
        <v>11</v>
      </c>
    </row>
    <row r="196" spans="1:32" s="2269" customFormat="1" ht="11.45" customHeight="1">
      <c r="A196" s="912"/>
      <c r="B196" s="1555"/>
      <c r="C196" s="1555"/>
      <c r="D196" s="288"/>
      <c r="K196" s="1079"/>
      <c r="L196" s="1555"/>
      <c r="M196" s="1555"/>
      <c r="N196" s="1079"/>
      <c r="O196" s="1079"/>
      <c r="P196" s="1079"/>
      <c r="Q196" s="1079"/>
      <c r="R196" s="1555"/>
      <c r="S196" s="1079"/>
      <c r="T196" s="1079"/>
      <c r="U196" s="481"/>
      <c r="V196" s="1079"/>
      <c r="W196" s="1079"/>
      <c r="X196" s="1079"/>
      <c r="Y196" s="1079"/>
      <c r="Z196" s="1079"/>
      <c r="AA196" s="1551"/>
      <c r="AB196" s="503"/>
      <c r="AC196" s="503"/>
      <c r="AD196" s="503"/>
      <c r="AE196" s="503"/>
      <c r="AF196" s="1560">
        <v>11</v>
      </c>
    </row>
    <row r="197" spans="1:32" s="2269" customFormat="1" ht="11.45" customHeight="1">
      <c r="A197" s="912"/>
      <c r="B197" s="1555"/>
      <c r="C197" s="1555"/>
      <c r="D197" s="288"/>
      <c r="K197" s="1079"/>
      <c r="L197" s="1555"/>
      <c r="M197" s="1555"/>
      <c r="N197" s="1079"/>
      <c r="O197" s="1079"/>
      <c r="P197" s="1079"/>
      <c r="Q197" s="1079"/>
      <c r="R197" s="1555"/>
      <c r="S197" s="1079"/>
      <c r="T197" s="1079"/>
      <c r="U197" s="481"/>
      <c r="V197" s="1079"/>
      <c r="W197" s="1079"/>
      <c r="X197" s="1079"/>
      <c r="Y197" s="1079"/>
      <c r="Z197" s="1079"/>
      <c r="AA197" s="1551"/>
      <c r="AB197" s="503"/>
      <c r="AC197" s="503"/>
      <c r="AD197" s="503"/>
      <c r="AE197" s="503"/>
      <c r="AF197" s="1560">
        <v>11</v>
      </c>
    </row>
    <row r="198" spans="1:32" s="2269" customFormat="1" ht="11.45" customHeight="1">
      <c r="A198" s="912"/>
      <c r="B198" s="1555"/>
      <c r="C198" s="1555"/>
      <c r="D198" s="288"/>
      <c r="K198" s="1079"/>
      <c r="L198" s="1555"/>
      <c r="M198" s="1555"/>
      <c r="N198" s="1079"/>
      <c r="O198" s="1079"/>
      <c r="P198" s="1079"/>
      <c r="Q198" s="1079"/>
      <c r="R198" s="1555"/>
      <c r="S198" s="1079"/>
      <c r="T198" s="1079"/>
      <c r="U198" s="481"/>
      <c r="V198" s="1079"/>
      <c r="W198" s="1079"/>
      <c r="X198" s="1079"/>
      <c r="Y198" s="1079"/>
      <c r="Z198" s="1079"/>
      <c r="AA198" s="1551"/>
      <c r="AB198" s="503"/>
      <c r="AC198" s="503"/>
      <c r="AD198" s="503"/>
      <c r="AE198" s="503"/>
      <c r="AF198" s="1560">
        <v>11</v>
      </c>
    </row>
    <row r="199" spans="1:32" s="2269" customFormat="1" ht="11.45" customHeight="1">
      <c r="A199" s="912"/>
      <c r="B199" s="1555"/>
      <c r="C199" s="1555"/>
      <c r="D199" s="288"/>
      <c r="K199" s="1079"/>
      <c r="L199" s="1555"/>
      <c r="M199" s="1555"/>
      <c r="N199" s="1079"/>
      <c r="O199" s="1079"/>
      <c r="P199" s="1079"/>
      <c r="Q199" s="1079"/>
      <c r="R199" s="1555"/>
      <c r="S199" s="1079"/>
      <c r="T199" s="1079"/>
      <c r="U199" s="481"/>
      <c r="V199" s="1079"/>
      <c r="W199" s="1079"/>
      <c r="X199" s="1079"/>
      <c r="Y199" s="1079"/>
      <c r="Z199" s="1079"/>
      <c r="AA199" s="1551"/>
      <c r="AB199" s="503"/>
      <c r="AC199" s="503"/>
      <c r="AD199" s="503"/>
      <c r="AE199" s="503"/>
      <c r="AF199" s="1560">
        <v>11</v>
      </c>
    </row>
    <row r="200" spans="1:32" s="2269" customFormat="1" ht="11.45" customHeight="1">
      <c r="A200" s="912"/>
      <c r="B200" s="1555"/>
      <c r="C200" s="1555"/>
      <c r="D200" s="288"/>
      <c r="K200" s="1079"/>
      <c r="L200" s="1555"/>
      <c r="M200" s="1555"/>
      <c r="N200" s="1079"/>
      <c r="O200" s="1079"/>
      <c r="P200" s="1079"/>
      <c r="Q200" s="1079"/>
      <c r="R200" s="1555"/>
      <c r="S200" s="1079"/>
      <c r="T200" s="1079"/>
      <c r="U200" s="481"/>
      <c r="V200" s="1079"/>
      <c r="W200" s="1079"/>
      <c r="X200" s="1079"/>
      <c r="Y200" s="1079"/>
      <c r="Z200" s="1079"/>
      <c r="AA200" s="1551"/>
      <c r="AB200" s="503"/>
      <c r="AC200" s="503"/>
      <c r="AD200" s="503"/>
      <c r="AE200" s="503"/>
      <c r="AF200" s="1560">
        <v>11</v>
      </c>
    </row>
    <row r="201" spans="1:32" s="2269" customFormat="1" ht="11.45" customHeight="1">
      <c r="A201" s="912"/>
      <c r="B201" s="1555"/>
      <c r="C201" s="1555"/>
      <c r="D201" s="288"/>
      <c r="K201" s="1079"/>
      <c r="L201" s="1555"/>
      <c r="M201" s="1555"/>
      <c r="N201" s="1079"/>
      <c r="O201" s="1079"/>
      <c r="P201" s="1079"/>
      <c r="Q201" s="1079"/>
      <c r="R201" s="1555"/>
      <c r="S201" s="1079"/>
      <c r="T201" s="1079"/>
      <c r="U201" s="481"/>
      <c r="V201" s="1079"/>
      <c r="W201" s="1079"/>
      <c r="X201" s="1079"/>
      <c r="Y201" s="1079"/>
      <c r="Z201" s="1079"/>
      <c r="AA201" s="1551"/>
      <c r="AB201" s="503"/>
      <c r="AC201" s="503"/>
      <c r="AD201" s="503"/>
      <c r="AE201" s="503"/>
      <c r="AF201" s="1560">
        <v>11</v>
      </c>
    </row>
    <row r="202" spans="1:32" s="2269" customFormat="1" ht="11.45" customHeight="1">
      <c r="A202" s="912"/>
      <c r="B202" s="1555"/>
      <c r="C202" s="1555"/>
      <c r="D202" s="288"/>
      <c r="K202" s="1079"/>
      <c r="L202" s="1555"/>
      <c r="M202" s="1555"/>
      <c r="N202" s="1079"/>
      <c r="O202" s="1079"/>
      <c r="P202" s="1079"/>
      <c r="Q202" s="1079"/>
      <c r="R202" s="1555"/>
      <c r="S202" s="1079"/>
      <c r="T202" s="1079"/>
      <c r="U202" s="481"/>
      <c r="V202" s="1079"/>
      <c r="W202" s="1079"/>
      <c r="X202" s="1079"/>
      <c r="Y202" s="1079"/>
      <c r="Z202" s="1079"/>
      <c r="AA202" s="1551"/>
      <c r="AB202" s="503"/>
      <c r="AC202" s="503"/>
      <c r="AD202" s="503"/>
      <c r="AE202" s="503"/>
      <c r="AF202" s="1560">
        <v>11</v>
      </c>
    </row>
    <row r="203" spans="1:32" ht="11.45" customHeight="1">
      <c r="AF203" s="1550">
        <v>11</v>
      </c>
    </row>
    <row r="204" spans="1:32" ht="11.45" customHeight="1">
      <c r="AF204" s="1550">
        <v>11</v>
      </c>
    </row>
    <row r="205" spans="1:32" ht="11.45" customHeight="1">
      <c r="AF205" s="1550">
        <v>11</v>
      </c>
    </row>
    <row r="206" spans="1:32" ht="11.45" customHeight="1">
      <c r="A206" s="915"/>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5"/>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5"/>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5"/>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45" customHeight="1">
      <c r="A210" s="915"/>
      <c r="B210" s="1550"/>
      <c r="D210" s="1550"/>
      <c r="K210" s="1550"/>
      <c r="N210" s="1550"/>
      <c r="O210" s="1550"/>
      <c r="P210" s="1550"/>
      <c r="Q210" s="1550"/>
      <c r="S210" s="1550"/>
      <c r="T210" s="1550"/>
      <c r="U210" s="1550"/>
      <c r="V210" s="1550"/>
      <c r="W210" s="1550"/>
      <c r="X210" s="1550"/>
      <c r="Y210" s="1550"/>
      <c r="Z210" s="1550"/>
      <c r="AA210" s="1550"/>
      <c r="AB210" s="1550"/>
      <c r="AC210" s="1550"/>
      <c r="AD210" s="1550"/>
      <c r="AE210" s="1550"/>
      <c r="AF210" s="1550">
        <v>11</v>
      </c>
    </row>
    <row r="211" spans="1:32" ht="11.45" customHeight="1">
      <c r="A211" s="915"/>
      <c r="B211" s="1550"/>
      <c r="D211" s="1550"/>
      <c r="K211" s="1550"/>
      <c r="N211" s="1550"/>
      <c r="O211" s="1550"/>
      <c r="P211" s="1550"/>
      <c r="Q211" s="1550"/>
      <c r="S211" s="1550"/>
      <c r="T211" s="1550"/>
      <c r="U211" s="1550"/>
      <c r="V211" s="1550"/>
      <c r="W211" s="1550"/>
      <c r="X211" s="1550"/>
      <c r="Y211" s="1550"/>
      <c r="Z211" s="1550"/>
      <c r="AA211" s="1550"/>
      <c r="AB211" s="1550"/>
      <c r="AC211" s="1550"/>
      <c r="AD211" s="1550"/>
      <c r="AE211" s="1550"/>
      <c r="AF211" s="1550">
        <v>11</v>
      </c>
    </row>
    <row r="212" spans="1:32" ht="11.45" customHeight="1">
      <c r="A212" s="915"/>
      <c r="B212" s="1550"/>
      <c r="D212" s="1550"/>
      <c r="K212" s="1550"/>
      <c r="N212" s="1550"/>
      <c r="O212" s="1550"/>
      <c r="P212" s="1550"/>
      <c r="Q212" s="1550"/>
      <c r="S212" s="1550"/>
      <c r="T212" s="1550"/>
      <c r="U212" s="1550"/>
      <c r="V212" s="1550"/>
      <c r="W212" s="1550"/>
      <c r="X212" s="1550"/>
      <c r="Y212" s="1550"/>
      <c r="Z212" s="1550"/>
      <c r="AA212" s="1550"/>
      <c r="AB212" s="1550"/>
      <c r="AC212" s="1550"/>
      <c r="AD212" s="1550"/>
      <c r="AE212" s="1550"/>
      <c r="AF212" s="1550">
        <v>11</v>
      </c>
    </row>
    <row r="213" spans="1:32" ht="11.45" customHeight="1">
      <c r="A213" s="915"/>
      <c r="B213" s="1550"/>
      <c r="D213" s="1550"/>
      <c r="K213" s="1550"/>
      <c r="N213" s="1550"/>
      <c r="O213" s="1550"/>
      <c r="P213" s="1550"/>
      <c r="Q213" s="1550"/>
      <c r="S213" s="1550"/>
      <c r="T213" s="1550"/>
      <c r="U213" s="1550"/>
      <c r="V213" s="1550"/>
      <c r="W213" s="1550"/>
      <c r="X213" s="1550"/>
      <c r="Y213" s="1550"/>
      <c r="Z213" s="1550"/>
      <c r="AA213" s="1550"/>
      <c r="AB213" s="1550"/>
      <c r="AC213" s="1550"/>
      <c r="AD213" s="1550"/>
      <c r="AE213" s="1550"/>
      <c r="AF213" s="1550">
        <v>11</v>
      </c>
    </row>
    <row r="214" spans="1:32" ht="11.45" customHeight="1">
      <c r="A214" s="915"/>
      <c r="B214" s="1550"/>
      <c r="D214" s="1550"/>
      <c r="K214" s="1550"/>
      <c r="N214" s="1550"/>
      <c r="O214" s="1550"/>
      <c r="P214" s="1550"/>
      <c r="Q214" s="1550"/>
      <c r="S214" s="1550"/>
      <c r="T214" s="1550"/>
      <c r="U214" s="1550"/>
      <c r="V214" s="1550"/>
      <c r="W214" s="1550"/>
      <c r="X214" s="1550"/>
      <c r="Y214" s="1550"/>
      <c r="Z214" s="1550"/>
      <c r="AA214" s="1550"/>
      <c r="AB214" s="1550"/>
      <c r="AC214" s="1550"/>
      <c r="AD214" s="1550"/>
      <c r="AE214" s="1550"/>
      <c r="AF214" s="1550">
        <v>11</v>
      </c>
    </row>
    <row r="215" spans="1:32" ht="11.45" customHeight="1">
      <c r="A215" s="915"/>
      <c r="B215" s="1550"/>
      <c r="D215" s="1550"/>
      <c r="K215" s="1550"/>
      <c r="N215" s="1550"/>
      <c r="O215" s="1550"/>
      <c r="P215" s="1550"/>
      <c r="Q215" s="1550"/>
      <c r="S215" s="1550"/>
      <c r="T215" s="1550"/>
      <c r="U215" s="1550"/>
      <c r="V215" s="1550"/>
      <c r="W215" s="1550"/>
      <c r="X215" s="1550"/>
      <c r="Y215" s="1550"/>
      <c r="Z215" s="1550"/>
      <c r="AA215" s="1550"/>
      <c r="AB215" s="1550"/>
      <c r="AC215" s="1550"/>
      <c r="AD215" s="1550"/>
      <c r="AE215" s="1550"/>
      <c r="AF215" s="1550">
        <v>11</v>
      </c>
    </row>
    <row r="216" spans="1:32" ht="11.45" customHeight="1">
      <c r="A216" s="915"/>
      <c r="B216" s="1550"/>
      <c r="D216" s="1550"/>
      <c r="K216" s="1550"/>
      <c r="N216" s="1550"/>
      <c r="O216" s="1550"/>
      <c r="P216" s="1550"/>
      <c r="Q216" s="1550"/>
      <c r="S216" s="1550"/>
      <c r="T216" s="1550"/>
      <c r="U216" s="1550"/>
      <c r="V216" s="1550"/>
      <c r="W216" s="1550"/>
      <c r="X216" s="1550"/>
      <c r="Y216" s="1550"/>
      <c r="Z216" s="1550"/>
      <c r="AA216" s="1550"/>
      <c r="AB216" s="1550"/>
      <c r="AC216" s="1550"/>
      <c r="AD216" s="1550"/>
      <c r="AE216" s="1550"/>
      <c r="AF216" s="1550">
        <v>11</v>
      </c>
    </row>
    <row r="217" spans="1:32" ht="11.25" hidden="1" customHeight="1">
      <c r="A217" s="912" t="s">
        <v>81</v>
      </c>
      <c r="B217" s="1079">
        <v>0</v>
      </c>
      <c r="C217" s="1555">
        <v>0</v>
      </c>
      <c r="D217" s="1554">
        <v>3</v>
      </c>
      <c r="E217" s="1550">
        <v>7</v>
      </c>
      <c r="F217" s="1550">
        <v>56</v>
      </c>
      <c r="G217" s="1550">
        <v>10</v>
      </c>
      <c r="H217" s="1550">
        <v>0</v>
      </c>
      <c r="I217" s="1550">
        <v>40</v>
      </c>
      <c r="J217" s="1550">
        <v>102</v>
      </c>
      <c r="K217" s="1079">
        <v>9</v>
      </c>
      <c r="L217" s="1555">
        <v>5</v>
      </c>
      <c r="M217" s="1555">
        <v>3</v>
      </c>
      <c r="N217" s="1079">
        <v>3</v>
      </c>
      <c r="O217" s="1079">
        <v>3</v>
      </c>
      <c r="P217" s="1079">
        <v>3</v>
      </c>
      <c r="Q217" s="1079">
        <v>3</v>
      </c>
      <c r="R217" s="1555">
        <v>10</v>
      </c>
      <c r="S217" s="1079">
        <v>34</v>
      </c>
      <c r="T217" s="1079">
        <v>9</v>
      </c>
      <c r="U217" s="481">
        <v>8</v>
      </c>
      <c r="V217" s="1079">
        <v>8</v>
      </c>
      <c r="W217" s="1079">
        <v>8</v>
      </c>
      <c r="X217" s="1079">
        <v>8</v>
      </c>
      <c r="Y217" s="1079">
        <v>8</v>
      </c>
      <c r="Z217" s="1079">
        <v>8</v>
      </c>
      <c r="AA217" s="1551">
        <v>8</v>
      </c>
      <c r="AB217" s="1551">
        <v>8</v>
      </c>
      <c r="AC217" s="1551">
        <v>8</v>
      </c>
      <c r="AD217" s="1551">
        <v>8</v>
      </c>
      <c r="AE217" s="1551">
        <v>8</v>
      </c>
      <c r="AF217" s="1550">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2279" hidden="1" customWidth="1"/>
    <col min="2" max="2" width="16.85546875" style="2244" hidden="1" customWidth="1"/>
    <col min="3" max="3" width="5.5703125" style="2245" hidden="1" customWidth="1"/>
    <col min="4" max="4" width="3" style="2238" customWidth="1"/>
    <col min="5" max="5" width="7" style="2238" customWidth="1"/>
    <col min="6" max="6" width="54" style="2238" customWidth="1"/>
    <col min="7" max="7" width="10" style="2238" customWidth="1"/>
    <col min="8" max="8" width="40.7109375" style="2238" hidden="1" customWidth="1"/>
    <col min="9" max="9" width="40" style="2238" customWidth="1"/>
    <col min="10" max="10" width="102" style="2238" customWidth="1"/>
    <col min="11" max="11" width="9" style="2244" customWidth="1"/>
    <col min="12" max="12" width="5" style="2245" customWidth="1"/>
    <col min="13" max="13" width="3" style="2245" customWidth="1"/>
    <col min="14" max="17" width="3" style="2244" customWidth="1"/>
    <col min="18" max="18" width="10" style="2245" customWidth="1"/>
    <col min="19" max="19" width="34" style="2244" customWidth="1"/>
    <col min="20" max="20" width="9" style="2244" customWidth="1"/>
    <col min="21" max="21" width="8" style="2280" customWidth="1"/>
    <col min="22" max="26" width="8" style="2244" customWidth="1"/>
    <col min="27" max="31" width="8" style="2236" customWidth="1"/>
    <col min="32" max="32" width="9.140625" style="2238" hidden="1"/>
  </cols>
  <sheetData>
    <row r="1" spans="1:32" s="2244" customFormat="1" ht="22.5" hidden="1" customHeight="1">
      <c r="A1" s="912"/>
      <c r="C1" s="1555"/>
      <c r="D1" s="474"/>
      <c r="H1" s="1079">
        <v>4</v>
      </c>
      <c r="I1" s="1079">
        <v>4</v>
      </c>
      <c r="L1" s="1555"/>
      <c r="M1" s="1555"/>
      <c r="R1" s="1555"/>
      <c r="AF1" s="1079" t="s">
        <v>14</v>
      </c>
    </row>
    <row r="2" spans="1:32" s="2244" customFormat="1" ht="22.5" hidden="1" customHeight="1">
      <c r="A2" s="912"/>
      <c r="C2" s="1555"/>
      <c r="D2" s="475"/>
      <c r="E2" s="1577"/>
      <c r="F2" s="477"/>
      <c r="G2" s="1576" t="s">
        <v>550</v>
      </c>
      <c r="H2" s="478"/>
      <c r="I2" s="478"/>
      <c r="J2" s="479" t="s">
        <v>553</v>
      </c>
      <c r="K2" s="480"/>
      <c r="L2" s="1555"/>
      <c r="M2" s="1555"/>
      <c r="R2" s="1555"/>
      <c r="U2" s="481"/>
      <c r="AA2" s="1551"/>
      <c r="AB2" s="1551"/>
      <c r="AC2" s="1551"/>
      <c r="AD2" s="1551"/>
      <c r="AE2" s="1551"/>
      <c r="AF2" s="1079">
        <v>0</v>
      </c>
    </row>
    <row r="3" spans="1:32" ht="11.25" hidden="1" customHeight="1">
      <c r="AF3" s="1550">
        <v>0</v>
      </c>
    </row>
    <row r="4" spans="1:32" s="2236" customFormat="1" ht="11.25" hidden="1" customHeight="1">
      <c r="A4" s="912"/>
      <c r="B4" s="1079"/>
      <c r="C4" s="1555"/>
      <c r="D4" s="299"/>
      <c r="J4" s="1551">
        <v>4</v>
      </c>
      <c r="K4" s="1079"/>
      <c r="L4" s="1555"/>
      <c r="M4" s="1555"/>
      <c r="N4" s="1079"/>
      <c r="O4" s="1079"/>
      <c r="P4" s="1079"/>
      <c r="Q4" s="1079"/>
      <c r="R4" s="1555"/>
      <c r="S4" s="1079"/>
      <c r="T4" s="1079"/>
      <c r="U4" s="481"/>
      <c r="V4" s="1079"/>
      <c r="W4" s="1079"/>
      <c r="X4" s="1079"/>
      <c r="Y4" s="1079"/>
      <c r="Z4" s="1079"/>
      <c r="AF4" s="1551">
        <v>0</v>
      </c>
    </row>
    <row r="5" spans="1:32" ht="11.45" customHeight="1">
      <c r="AF5" s="1550">
        <v>11</v>
      </c>
    </row>
    <row r="6" spans="1:32" ht="33.75" customHeight="1">
      <c r="E6" s="2467" t="s">
        <v>775</v>
      </c>
      <c r="F6" s="2467"/>
      <c r="G6" s="2467"/>
      <c r="H6" s="2467"/>
      <c r="I6" s="2467"/>
      <c r="J6" s="493"/>
      <c r="AF6" s="1550">
        <v>32</v>
      </c>
    </row>
    <row r="7" spans="1:32" ht="25.15" customHeight="1">
      <c r="E7" s="2412" t="str">
        <f>IF(org=0,"Не определено",org)</f>
        <v>МУП "Водоканал"</v>
      </c>
      <c r="F7" s="2412"/>
      <c r="G7" s="2412"/>
      <c r="H7" s="2412"/>
      <c r="I7" s="2412"/>
      <c r="AF7" s="1550">
        <v>24</v>
      </c>
    </row>
    <row r="8" spans="1:32" ht="11.45" customHeight="1">
      <c r="E8" s="1055"/>
      <c r="F8" s="1055"/>
      <c r="G8" s="1055"/>
      <c r="H8" s="1055"/>
      <c r="I8" s="1055"/>
      <c r="AF8" s="1550">
        <v>11</v>
      </c>
    </row>
    <row r="9" spans="1:32" s="2245" customFormat="1" ht="1.1499999999999999" customHeight="1">
      <c r="A9" s="1086"/>
      <c r="D9" s="1561"/>
      <c r="H9" s="815"/>
      <c r="I9" s="815" t="s">
        <v>116</v>
      </c>
      <c r="AF9" s="1555">
        <v>1</v>
      </c>
    </row>
    <row r="10" spans="1:32" ht="11.45" customHeight="1">
      <c r="E10" s="648"/>
      <c r="F10" s="2566" t="s">
        <v>104</v>
      </c>
      <c r="G10" s="2567"/>
      <c r="H10" s="1578" t="str">
        <f>IF(H9="","",INDEX(DIFFERENTIATION_UNMERGE_VD,MATCH(H9,DIFFERENTIATION_ID_DIFF,0)))</f>
        <v/>
      </c>
      <c r="I10" s="1578" t="str">
        <f>IF(I9="","",INDEX(DIFFERENTIATION_UNMERGE_VD,MATCH(I9,DIFFERENTIATION_ID_DIFF,0)))</f>
        <v>Водоотведение</v>
      </c>
      <c r="J10" s="2363"/>
      <c r="AF10" s="1550">
        <v>11</v>
      </c>
    </row>
    <row r="11" spans="1:32" ht="11.45" customHeight="1">
      <c r="E11" s="648"/>
      <c r="F11" s="2566" t="s">
        <v>562</v>
      </c>
      <c r="G11" s="2567"/>
      <c r="H11" s="1578" t="str">
        <f>IF(H9="","",INDEX(DIFFERENTIATION_UNMERGE_AREA,MATCH(H9,DIFFERENTIATION_ID_DIFF,0)))</f>
        <v/>
      </c>
      <c r="I11" s="1578" t="str">
        <f>IF(I9="","",INDEX(DIFFERENTIATION_UNMERGE_AREA,MATCH(I9,DIFFERENTIATION_ID_DIFF,0)))</f>
        <v>Территория 1</v>
      </c>
      <c r="J11" s="2363"/>
      <c r="AF11" s="1550">
        <v>11</v>
      </c>
    </row>
    <row r="12" spans="1:32" ht="11.25" hidden="1" customHeight="1">
      <c r="E12" s="1581"/>
      <c r="F12" s="2586" t="s">
        <v>563</v>
      </c>
      <c r="G12" s="2587"/>
      <c r="H12" s="1582" t="str">
        <f>IF(H9="","",INDEX(DIFFERENTIATION_UNMERGE_SYSTEM,MATCH(H9,DIFFERENTIATION_ID_DIFF,0)))</f>
        <v/>
      </c>
      <c r="I12" s="1582" t="str">
        <f>IF(I9="","",INDEX(DIFFERENTIATION_UNMERGE_SYSTEM,MATCH(I9,DIFFERENTIATION_ID_DIFF,0)))</f>
        <v>без дифференциации</v>
      </c>
      <c r="J12" s="2363"/>
      <c r="AF12" s="1550">
        <v>0</v>
      </c>
    </row>
    <row r="13" spans="1:32" ht="11.45" customHeight="1">
      <c r="E13" s="2568" t="s">
        <v>298</v>
      </c>
      <c r="F13" s="2569"/>
      <c r="G13" s="2569"/>
      <c r="H13" s="1575"/>
      <c r="I13" s="1575"/>
      <c r="J13" s="2363"/>
      <c r="AF13" s="1550">
        <v>11</v>
      </c>
    </row>
    <row r="14" spans="1:32" ht="24" customHeight="1">
      <c r="E14" s="1576" t="s">
        <v>87</v>
      </c>
      <c r="F14" s="1579" t="s">
        <v>300</v>
      </c>
      <c r="G14" s="1579" t="s">
        <v>564</v>
      </c>
      <c r="H14" s="1579" t="s">
        <v>301</v>
      </c>
      <c r="I14" s="1579" t="s">
        <v>301</v>
      </c>
      <c r="J14" s="2363"/>
      <c r="AF14" s="1550">
        <v>23</v>
      </c>
    </row>
    <row r="15" spans="1:32" ht="19.899999999999999" customHeight="1">
      <c r="D15" s="1557"/>
      <c r="E15" s="1549" t="s">
        <v>108</v>
      </c>
      <c r="F15" s="644" t="s">
        <v>776</v>
      </c>
      <c r="G15" s="1576" t="s">
        <v>550</v>
      </c>
      <c r="H15" s="494"/>
      <c r="I15" s="494"/>
      <c r="J15" s="226" t="s">
        <v>777</v>
      </c>
      <c r="K15" s="480" t="s">
        <v>631</v>
      </c>
      <c r="AF15" s="1550">
        <v>19</v>
      </c>
    </row>
    <row r="16" spans="1:32" ht="24" customHeight="1">
      <c r="D16" s="1557"/>
      <c r="E16" s="1549" t="s">
        <v>109</v>
      </c>
      <c r="F16" s="1584" t="s">
        <v>778</v>
      </c>
      <c r="G16" s="1576" t="s">
        <v>550</v>
      </c>
      <c r="H16" s="495">
        <f>SUM(H17,H20:H27)</f>
        <v>0</v>
      </c>
      <c r="I16" s="495">
        <f>SUM(I17,I20:I27)</f>
        <v>0</v>
      </c>
      <c r="J16" s="226" t="s">
        <v>779</v>
      </c>
      <c r="K16" s="480" t="s">
        <v>631</v>
      </c>
      <c r="AF16" s="1550">
        <v>23</v>
      </c>
    </row>
    <row r="17" spans="1:32" ht="35.65" customHeight="1">
      <c r="D17" s="1557"/>
      <c r="E17" s="1583" t="s">
        <v>709</v>
      </c>
      <c r="F17" s="1586" t="s">
        <v>780</v>
      </c>
      <c r="G17" s="1573" t="s">
        <v>550</v>
      </c>
      <c r="H17" s="494"/>
      <c r="I17" s="494"/>
      <c r="J17" s="226" t="s">
        <v>781</v>
      </c>
      <c r="K17" s="480"/>
      <c r="AF17" s="1550">
        <v>34</v>
      </c>
    </row>
    <row r="18" spans="1:32" ht="19.899999999999999" customHeight="1">
      <c r="D18" s="1557"/>
      <c r="E18" s="1583" t="s">
        <v>712</v>
      </c>
      <c r="F18" s="1587" t="s">
        <v>782</v>
      </c>
      <c r="G18" s="1573" t="s">
        <v>550</v>
      </c>
      <c r="H18" s="494"/>
      <c r="I18" s="494"/>
      <c r="J18" s="226"/>
      <c r="K18" s="480"/>
      <c r="AF18" s="1550">
        <v>19</v>
      </c>
    </row>
    <row r="19" spans="1:32" ht="24" customHeight="1">
      <c r="D19" s="1557"/>
      <c r="E19" s="1583" t="s">
        <v>715</v>
      </c>
      <c r="F19" s="1587" t="s">
        <v>783</v>
      </c>
      <c r="G19" s="1573" t="s">
        <v>550</v>
      </c>
      <c r="H19" s="494"/>
      <c r="I19" s="494"/>
      <c r="J19" s="226"/>
      <c r="K19" s="480"/>
      <c r="AF19" s="1550">
        <v>23</v>
      </c>
    </row>
    <row r="20" spans="1:32" ht="35.65" customHeight="1">
      <c r="D20" s="1557"/>
      <c r="E20" s="1583" t="s">
        <v>305</v>
      </c>
      <c r="F20" s="1586" t="s">
        <v>784</v>
      </c>
      <c r="G20" s="1573" t="s">
        <v>550</v>
      </c>
      <c r="H20" s="494"/>
      <c r="I20" s="494"/>
      <c r="J20" s="226"/>
      <c r="K20" s="480"/>
      <c r="AF20" s="1550">
        <v>34</v>
      </c>
    </row>
    <row r="21" spans="1:32" ht="48.2" customHeight="1">
      <c r="D21" s="1557"/>
      <c r="E21" s="1583" t="s">
        <v>308</v>
      </c>
      <c r="F21" s="1586" t="s">
        <v>785</v>
      </c>
      <c r="G21" s="1573" t="s">
        <v>550</v>
      </c>
      <c r="H21" s="494"/>
      <c r="I21" s="494"/>
      <c r="J21" s="226"/>
      <c r="K21" s="480"/>
      <c r="AF21" s="1550">
        <v>46</v>
      </c>
    </row>
    <row r="22" spans="1:32" ht="60" customHeight="1">
      <c r="D22" s="1557"/>
      <c r="E22" s="1583" t="s">
        <v>729</v>
      </c>
      <c r="F22" s="1586" t="s">
        <v>786</v>
      </c>
      <c r="G22" s="1573" t="s">
        <v>550</v>
      </c>
      <c r="H22" s="494"/>
      <c r="I22" s="494"/>
      <c r="J22" s="226"/>
      <c r="K22" s="480"/>
      <c r="AF22" s="1550">
        <v>57</v>
      </c>
    </row>
    <row r="23" spans="1:32" ht="35.65" customHeight="1">
      <c r="D23" s="1557"/>
      <c r="E23" s="1583" t="s">
        <v>736</v>
      </c>
      <c r="F23" s="1586" t="s">
        <v>787</v>
      </c>
      <c r="G23" s="1573" t="s">
        <v>550</v>
      </c>
      <c r="H23" s="494"/>
      <c r="I23" s="494"/>
      <c r="J23" s="226"/>
      <c r="K23" s="480"/>
      <c r="AF23" s="1550">
        <v>34</v>
      </c>
    </row>
    <row r="24" spans="1:32" ht="35.65" customHeight="1">
      <c r="D24" s="1557"/>
      <c r="E24" s="1583" t="s">
        <v>738</v>
      </c>
      <c r="F24" s="1586" t="s">
        <v>788</v>
      </c>
      <c r="G24" s="1573" t="s">
        <v>550</v>
      </c>
      <c r="H24" s="494"/>
      <c r="I24" s="494"/>
      <c r="J24" s="226"/>
      <c r="K24" s="480"/>
      <c r="AF24" s="1550">
        <v>34</v>
      </c>
    </row>
    <row r="25" spans="1:32" ht="24" customHeight="1">
      <c r="D25" s="1557"/>
      <c r="E25" s="1583" t="s">
        <v>740</v>
      </c>
      <c r="F25" s="1586" t="s">
        <v>789</v>
      </c>
      <c r="G25" s="1573" t="s">
        <v>550</v>
      </c>
      <c r="H25" s="494"/>
      <c r="I25" s="494"/>
      <c r="J25" s="226"/>
      <c r="K25" s="480"/>
      <c r="AF25" s="1550">
        <v>23</v>
      </c>
    </row>
    <row r="26" spans="1:32" ht="76.5" customHeight="1">
      <c r="D26" s="1557"/>
      <c r="E26" s="1583" t="s">
        <v>742</v>
      </c>
      <c r="F26" s="1586" t="s">
        <v>790</v>
      </c>
      <c r="G26" s="1573" t="s">
        <v>550</v>
      </c>
      <c r="H26" s="494"/>
      <c r="I26" s="494"/>
      <c r="J26" s="226"/>
      <c r="K26" s="480"/>
      <c r="AF26" s="1550">
        <v>73</v>
      </c>
    </row>
    <row r="27" spans="1:32" s="2244" customFormat="1" ht="35.65" customHeight="1">
      <c r="A27" s="912"/>
      <c r="C27" s="1555"/>
      <c r="D27" s="1557"/>
      <c r="E27" s="1548" t="s">
        <v>746</v>
      </c>
      <c r="F27" s="1547" t="s">
        <v>791</v>
      </c>
      <c r="G27" s="1574" t="s">
        <v>550</v>
      </c>
      <c r="H27" s="516">
        <f>SUM(H28:H29)</f>
        <v>0</v>
      </c>
      <c r="I27" s="516">
        <f>SUM(I28:I29)</f>
        <v>0</v>
      </c>
      <c r="J27" s="226" t="s">
        <v>744</v>
      </c>
      <c r="K27" s="480"/>
      <c r="L27" s="1555"/>
      <c r="M27" s="1555"/>
      <c r="R27" s="1555"/>
      <c r="U27" s="481"/>
      <c r="AA27" s="1551"/>
      <c r="AB27" s="1551"/>
      <c r="AC27" s="1551"/>
      <c r="AD27" s="1551"/>
      <c r="AE27" s="1551"/>
      <c r="AF27" s="1079">
        <v>34</v>
      </c>
    </row>
    <row r="28" spans="1:32" s="2245" customFormat="1" ht="1.1499999999999999" customHeight="1">
      <c r="A28" s="1086"/>
      <c r="D28" s="485"/>
      <c r="E28" s="733" t="str">
        <f>E27&amp;".0"</f>
        <v>2.9.0</v>
      </c>
      <c r="F28" s="916"/>
      <c r="G28" s="488"/>
      <c r="H28" s="917"/>
      <c r="I28" s="917"/>
      <c r="J28" s="918"/>
      <c r="AF28" s="1555">
        <v>1</v>
      </c>
    </row>
    <row r="29" spans="1:32" s="2244" customFormat="1" ht="19.899999999999999" customHeight="1">
      <c r="A29" s="912"/>
      <c r="C29" s="1555"/>
      <c r="D29" s="1552"/>
      <c r="E29" s="507"/>
      <c r="F29" s="1585" t="s">
        <v>577</v>
      </c>
      <c r="G29" s="509"/>
      <c r="H29" s="510"/>
      <c r="I29" s="510"/>
      <c r="J29" s="238" t="s">
        <v>745</v>
      </c>
      <c r="K29" s="480"/>
      <c r="L29" s="1555"/>
      <c r="M29" s="1555"/>
      <c r="R29" s="1555"/>
      <c r="U29" s="481"/>
      <c r="AA29" s="1551"/>
      <c r="AB29" s="1551"/>
      <c r="AC29" s="1551"/>
      <c r="AD29" s="1551"/>
      <c r="AE29" s="1551"/>
      <c r="AF29" s="1079">
        <v>19</v>
      </c>
    </row>
    <row r="30" spans="1:32" s="2244" customFormat="1" ht="24" customHeight="1">
      <c r="A30" s="912"/>
      <c r="C30" s="1555"/>
      <c r="D30" s="1557"/>
      <c r="E30" s="1583" t="s">
        <v>89</v>
      </c>
      <c r="F30" s="1580" t="s">
        <v>792</v>
      </c>
      <c r="G30" s="1573" t="s">
        <v>550</v>
      </c>
      <c r="H30" s="494"/>
      <c r="I30" s="494"/>
      <c r="J30" s="226"/>
      <c r="K30" s="480"/>
      <c r="L30" s="1555"/>
      <c r="M30" s="1555"/>
      <c r="R30" s="1555"/>
      <c r="U30" s="481"/>
      <c r="AA30" s="1551"/>
      <c r="AB30" s="1551"/>
      <c r="AC30" s="1551"/>
      <c r="AD30" s="1551"/>
      <c r="AE30" s="1551"/>
      <c r="AF30" s="1079">
        <v>23</v>
      </c>
    </row>
    <row r="31" spans="1:32" s="2244" customFormat="1" ht="35.65" customHeight="1">
      <c r="A31" s="912"/>
      <c r="C31" s="1555"/>
      <c r="D31" s="512"/>
      <c r="E31" s="1583" t="s">
        <v>90</v>
      </c>
      <c r="F31" s="1580" t="s">
        <v>793</v>
      </c>
      <c r="G31" s="1573" t="s">
        <v>550</v>
      </c>
      <c r="H31" s="494"/>
      <c r="I31" s="494"/>
      <c r="J31" s="226" t="s">
        <v>794</v>
      </c>
      <c r="K31" s="480"/>
      <c r="L31" s="1555"/>
      <c r="M31" s="1555"/>
      <c r="R31" s="1555"/>
      <c r="U31" s="481"/>
      <c r="AA31" s="1551"/>
      <c r="AB31" s="1551"/>
      <c r="AC31" s="1551"/>
      <c r="AD31" s="1551"/>
      <c r="AE31" s="1551"/>
      <c r="AF31" s="1079">
        <v>34</v>
      </c>
    </row>
    <row r="32" spans="1:32" s="2244" customFormat="1" ht="24" customHeight="1">
      <c r="A32" s="912"/>
      <c r="C32" s="1555"/>
      <c r="D32" s="1557"/>
      <c r="E32" s="1583" t="s">
        <v>754</v>
      </c>
      <c r="F32" s="627" t="s">
        <v>758</v>
      </c>
      <c r="G32" s="1573" t="s">
        <v>550</v>
      </c>
      <c r="H32" s="494"/>
      <c r="I32" s="494"/>
      <c r="J32" s="226" t="s">
        <v>795</v>
      </c>
      <c r="K32" s="480"/>
      <c r="L32" s="1555"/>
      <c r="M32" s="1555"/>
      <c r="R32" s="1555"/>
      <c r="U32" s="481"/>
      <c r="AA32" s="1551"/>
      <c r="AB32" s="1551"/>
      <c r="AC32" s="1551"/>
      <c r="AD32" s="1551"/>
      <c r="AE32" s="1551"/>
      <c r="AF32" s="1079">
        <v>23</v>
      </c>
    </row>
    <row r="33" spans="1:32" s="2244" customFormat="1" ht="24" customHeight="1">
      <c r="A33" s="912"/>
      <c r="C33" s="1555"/>
      <c r="D33" s="1557"/>
      <c r="E33" s="1583" t="s">
        <v>796</v>
      </c>
      <c r="F33" s="627" t="s">
        <v>797</v>
      </c>
      <c r="G33" s="1573" t="s">
        <v>550</v>
      </c>
      <c r="H33" s="494"/>
      <c r="I33" s="494"/>
      <c r="J33" s="226" t="s">
        <v>798</v>
      </c>
      <c r="K33" s="480"/>
      <c r="L33" s="1555"/>
      <c r="M33" s="1555"/>
      <c r="R33" s="1555"/>
      <c r="U33" s="481"/>
      <c r="AA33" s="1551"/>
      <c r="AB33" s="1551"/>
      <c r="AC33" s="1551"/>
      <c r="AD33" s="1551"/>
      <c r="AE33" s="1551"/>
      <c r="AF33" s="1079">
        <v>23</v>
      </c>
    </row>
    <row r="34" spans="1:32" s="2244" customFormat="1" ht="24" customHeight="1">
      <c r="A34" s="912"/>
      <c r="C34" s="1555"/>
      <c r="D34" s="1557"/>
      <c r="E34" s="1583" t="s">
        <v>799</v>
      </c>
      <c r="F34" s="627" t="s">
        <v>764</v>
      </c>
      <c r="G34" s="1573" t="s">
        <v>550</v>
      </c>
      <c r="H34" s="494"/>
      <c r="I34" s="494"/>
      <c r="J34" s="226" t="s">
        <v>800</v>
      </c>
      <c r="K34" s="480"/>
      <c r="L34" s="1555"/>
      <c r="M34" s="1555"/>
      <c r="R34" s="1555"/>
      <c r="U34" s="481"/>
      <c r="AA34" s="1551"/>
      <c r="AB34" s="1551"/>
      <c r="AC34" s="1551"/>
      <c r="AD34" s="1551"/>
      <c r="AE34" s="1551"/>
      <c r="AF34" s="1079">
        <v>23</v>
      </c>
    </row>
    <row r="35" spans="1:32" s="2244" customFormat="1" ht="35.65" customHeight="1">
      <c r="A35" s="912"/>
      <c r="C35" s="1555" t="s">
        <v>589</v>
      </c>
      <c r="D35" s="1557"/>
      <c r="E35" s="1583" t="s">
        <v>110</v>
      </c>
      <c r="F35" s="1580" t="s">
        <v>630</v>
      </c>
      <c r="G35" s="1576" t="s">
        <v>304</v>
      </c>
      <c r="H35" s="338"/>
      <c r="I35" s="338"/>
      <c r="J35" s="226" t="s">
        <v>801</v>
      </c>
      <c r="K35" s="480"/>
      <c r="L35" s="1555"/>
      <c r="M35" s="1555"/>
      <c r="R35" s="1555"/>
      <c r="U35" s="481"/>
      <c r="AA35" s="1551"/>
      <c r="AB35" s="1551"/>
      <c r="AC35" s="1551"/>
      <c r="AD35" s="1551"/>
      <c r="AE35" s="1551"/>
      <c r="AF35" s="1079">
        <v>34</v>
      </c>
    </row>
    <row r="36" spans="1:32" s="2244" customFormat="1" ht="35.65" customHeight="1">
      <c r="A36" s="912"/>
      <c r="C36" s="1555"/>
      <c r="D36" s="1557"/>
      <c r="E36" s="1583" t="s">
        <v>91</v>
      </c>
      <c r="F36" s="1580" t="s">
        <v>802</v>
      </c>
      <c r="G36" s="1573" t="s">
        <v>769</v>
      </c>
      <c r="H36" s="482"/>
      <c r="I36" s="482"/>
      <c r="J36" s="226" t="s">
        <v>770</v>
      </c>
      <c r="K36" s="480"/>
      <c r="L36" s="1555"/>
      <c r="M36" s="1555"/>
      <c r="R36" s="1555"/>
      <c r="U36" s="481"/>
      <c r="AA36" s="1551"/>
      <c r="AB36" s="1551"/>
      <c r="AC36" s="1551"/>
      <c r="AD36" s="1551"/>
      <c r="AE36" s="1551"/>
      <c r="AF36" s="1079">
        <v>34</v>
      </c>
    </row>
    <row r="37" spans="1:32" s="2244" customFormat="1" ht="24" customHeight="1">
      <c r="A37" s="912"/>
      <c r="C37" s="1555"/>
      <c r="D37" s="1557"/>
      <c r="E37" s="1583" t="s">
        <v>92</v>
      </c>
      <c r="F37" s="1580" t="s">
        <v>803</v>
      </c>
      <c r="G37" s="1573" t="s">
        <v>772</v>
      </c>
      <c r="H37" s="482"/>
      <c r="I37" s="482"/>
      <c r="J37" s="226" t="s">
        <v>773</v>
      </c>
      <c r="K37" s="480"/>
      <c r="L37" s="1555"/>
      <c r="M37" s="1555"/>
      <c r="R37" s="1555"/>
      <c r="U37" s="481"/>
      <c r="AA37" s="1551"/>
      <c r="AB37" s="1551"/>
      <c r="AC37" s="1551"/>
      <c r="AD37" s="1551"/>
      <c r="AE37" s="1551"/>
      <c r="AF37" s="1079">
        <v>23</v>
      </c>
    </row>
    <row r="38" spans="1:32" ht="11.45" customHeight="1">
      <c r="D38" s="1557"/>
      <c r="AF38" s="1550">
        <v>11</v>
      </c>
    </row>
    <row r="39" spans="1:32" ht="27.4" customHeight="1">
      <c r="D39" s="1557"/>
      <c r="E39" s="1172" t="s">
        <v>804</v>
      </c>
      <c r="F39" s="2503" t="s">
        <v>805</v>
      </c>
      <c r="G39" s="2503"/>
      <c r="H39" s="306"/>
      <c r="I39" s="306"/>
      <c r="J39" s="306"/>
      <c r="AF39" s="1550">
        <v>26</v>
      </c>
    </row>
    <row r="40" spans="1:32" s="2269" customFormat="1" ht="39.75" customHeight="1">
      <c r="A40" s="912"/>
      <c r="B40" s="1555"/>
      <c r="C40" s="1555"/>
      <c r="D40" s="288"/>
      <c r="F40" s="2503" t="s">
        <v>806</v>
      </c>
      <c r="G40" s="2503"/>
      <c r="H40" s="306"/>
      <c r="I40" s="306"/>
      <c r="J40" s="306"/>
      <c r="K40" s="1079"/>
      <c r="L40" s="1555"/>
      <c r="M40" s="1555"/>
      <c r="N40" s="1079"/>
      <c r="O40" s="1079"/>
      <c r="P40" s="1079"/>
      <c r="Q40" s="1079"/>
      <c r="R40" s="1555"/>
      <c r="S40" s="1079"/>
      <c r="T40" s="1079"/>
      <c r="U40" s="481"/>
      <c r="V40" s="1079"/>
      <c r="W40" s="1079"/>
      <c r="X40" s="1079"/>
      <c r="Y40" s="1079"/>
      <c r="Z40" s="1079"/>
      <c r="AA40" s="1551"/>
      <c r="AB40" s="503"/>
      <c r="AC40" s="503"/>
      <c r="AD40" s="503"/>
      <c r="AE40" s="503"/>
      <c r="AF40" s="1560">
        <v>38</v>
      </c>
    </row>
    <row r="41" spans="1:32" s="2269" customFormat="1" ht="11.45" customHeight="1">
      <c r="A41" s="912"/>
      <c r="B41" s="1555"/>
      <c r="C41" s="1555"/>
      <c r="D41" s="288"/>
      <c r="K41" s="1079"/>
      <c r="L41" s="1555"/>
      <c r="M41" s="1555"/>
      <c r="N41" s="1079"/>
      <c r="O41" s="1079"/>
      <c r="P41" s="1079"/>
      <c r="Q41" s="1079"/>
      <c r="R41" s="1555"/>
      <c r="S41" s="1079"/>
      <c r="T41" s="1079"/>
      <c r="U41" s="481"/>
      <c r="V41" s="1079"/>
      <c r="W41" s="1079"/>
      <c r="X41" s="1079"/>
      <c r="Y41" s="1079"/>
      <c r="Z41" s="1079"/>
      <c r="AA41" s="1551"/>
      <c r="AB41" s="503"/>
      <c r="AC41" s="503"/>
      <c r="AD41" s="503"/>
      <c r="AE41" s="503"/>
      <c r="AF41" s="1560">
        <v>11</v>
      </c>
    </row>
    <row r="42" spans="1:32" s="2269" customFormat="1" ht="11.45" customHeight="1">
      <c r="A42" s="912"/>
      <c r="B42" s="1555"/>
      <c r="C42" s="1555"/>
      <c r="D42" s="288"/>
      <c r="K42" s="1079"/>
      <c r="L42" s="1555"/>
      <c r="M42" s="1555"/>
      <c r="N42" s="1079"/>
      <c r="O42" s="1079"/>
      <c r="P42" s="1079"/>
      <c r="Q42" s="1079"/>
      <c r="R42" s="1555"/>
      <c r="S42" s="1079"/>
      <c r="T42" s="1079"/>
      <c r="U42" s="481"/>
      <c r="V42" s="1079"/>
      <c r="W42" s="1079"/>
      <c r="X42" s="1079"/>
      <c r="Y42" s="1079"/>
      <c r="Z42" s="1079"/>
      <c r="AA42" s="1551"/>
      <c r="AB42" s="503"/>
      <c r="AC42" s="503"/>
      <c r="AD42" s="503"/>
      <c r="AE42" s="503"/>
      <c r="AF42" s="1560">
        <v>11</v>
      </c>
    </row>
    <row r="43" spans="1:32" s="2269" customFormat="1" ht="11.45" customHeight="1">
      <c r="A43" s="912"/>
      <c r="B43" s="1555"/>
      <c r="C43" s="1555"/>
      <c r="D43" s="288"/>
      <c r="H43" s="503"/>
      <c r="I43" s="503"/>
      <c r="K43" s="1079"/>
      <c r="L43" s="1555"/>
      <c r="M43" s="1555"/>
      <c r="N43" s="1079"/>
      <c r="O43" s="1079"/>
      <c r="P43" s="1079"/>
      <c r="Q43" s="1079"/>
      <c r="R43" s="1555"/>
      <c r="S43" s="1079"/>
      <c r="T43" s="1079"/>
      <c r="U43" s="481"/>
      <c r="V43" s="1079"/>
      <c r="W43" s="1079"/>
      <c r="X43" s="1079"/>
      <c r="Y43" s="1079"/>
      <c r="Z43" s="1079"/>
      <c r="AA43" s="1551"/>
      <c r="AB43" s="503"/>
      <c r="AC43" s="503"/>
      <c r="AD43" s="503"/>
      <c r="AE43" s="503"/>
      <c r="AF43" s="1560">
        <v>11</v>
      </c>
    </row>
    <row r="44" spans="1:32" s="2269" customFormat="1" ht="11.45" customHeight="1">
      <c r="A44" s="912"/>
      <c r="B44" s="1555"/>
      <c r="C44" s="1555"/>
      <c r="D44" s="288"/>
      <c r="K44" s="1079"/>
      <c r="L44" s="1555"/>
      <c r="M44" s="1555"/>
      <c r="N44" s="1079"/>
      <c r="O44" s="1079"/>
      <c r="P44" s="1079"/>
      <c r="Q44" s="1079"/>
      <c r="R44" s="1555"/>
      <c r="S44" s="1079"/>
      <c r="T44" s="1079"/>
      <c r="U44" s="481"/>
      <c r="V44" s="1079"/>
      <c r="W44" s="1079"/>
      <c r="X44" s="1079"/>
      <c r="Y44" s="1079"/>
      <c r="Z44" s="1079"/>
      <c r="AA44" s="1551"/>
      <c r="AB44" s="503"/>
      <c r="AC44" s="503"/>
      <c r="AD44" s="503"/>
      <c r="AE44" s="503"/>
      <c r="AF44" s="1560">
        <v>11</v>
      </c>
    </row>
    <row r="45" spans="1:32" s="2269" customFormat="1" ht="11.45" customHeight="1">
      <c r="A45" s="912"/>
      <c r="B45" s="1555"/>
      <c r="C45" s="1555"/>
      <c r="D45" s="288"/>
      <c r="K45" s="1079"/>
      <c r="L45" s="1555"/>
      <c r="M45" s="1555"/>
      <c r="N45" s="1079"/>
      <c r="O45" s="1079"/>
      <c r="P45" s="1079"/>
      <c r="Q45" s="1079"/>
      <c r="R45" s="1555"/>
      <c r="S45" s="1079"/>
      <c r="T45" s="1079"/>
      <c r="U45" s="481"/>
      <c r="V45" s="1079"/>
      <c r="W45" s="1079"/>
      <c r="X45" s="1079"/>
      <c r="Y45" s="1079"/>
      <c r="Z45" s="1079"/>
      <c r="AA45" s="1551"/>
      <c r="AB45" s="503"/>
      <c r="AC45" s="503"/>
      <c r="AD45" s="503"/>
      <c r="AE45" s="503"/>
      <c r="AF45" s="1560">
        <v>11</v>
      </c>
    </row>
    <row r="46" spans="1:32" s="2269" customFormat="1" ht="11.45" customHeight="1">
      <c r="A46" s="912"/>
      <c r="B46" s="1555"/>
      <c r="C46" s="1555"/>
      <c r="D46" s="288"/>
      <c r="K46" s="1079"/>
      <c r="L46" s="1555"/>
      <c r="M46" s="1555"/>
      <c r="N46" s="1079"/>
      <c r="O46" s="1079"/>
      <c r="P46" s="1079"/>
      <c r="Q46" s="1079"/>
      <c r="R46" s="1555"/>
      <c r="S46" s="1079"/>
      <c r="T46" s="1079"/>
      <c r="U46" s="481"/>
      <c r="V46" s="1079"/>
      <c r="W46" s="1079"/>
      <c r="X46" s="1079"/>
      <c r="Y46" s="1079"/>
      <c r="Z46" s="1079"/>
      <c r="AA46" s="1551"/>
      <c r="AB46" s="503"/>
      <c r="AC46" s="503"/>
      <c r="AD46" s="503"/>
      <c r="AE46" s="503"/>
      <c r="AF46" s="1560">
        <v>11</v>
      </c>
    </row>
    <row r="47" spans="1:32" s="2269" customFormat="1" ht="11.45" customHeight="1">
      <c r="A47" s="912"/>
      <c r="B47" s="1555"/>
      <c r="C47" s="1555"/>
      <c r="D47" s="288"/>
      <c r="K47" s="1079"/>
      <c r="L47" s="1555"/>
      <c r="M47" s="1555"/>
      <c r="N47" s="1079"/>
      <c r="O47" s="1079"/>
      <c r="P47" s="1079"/>
      <c r="Q47" s="1079"/>
      <c r="R47" s="1555"/>
      <c r="S47" s="1079"/>
      <c r="T47" s="1079"/>
      <c r="U47" s="481"/>
      <c r="V47" s="1079"/>
      <c r="W47" s="1079"/>
      <c r="X47" s="1079"/>
      <c r="Y47" s="1079"/>
      <c r="Z47" s="1079"/>
      <c r="AA47" s="1551"/>
      <c r="AB47" s="503"/>
      <c r="AC47" s="503"/>
      <c r="AD47" s="503"/>
      <c r="AE47" s="503"/>
      <c r="AF47" s="1560">
        <v>11</v>
      </c>
    </row>
    <row r="48" spans="1:32" s="2269" customFormat="1" ht="11.45" customHeight="1">
      <c r="A48" s="912"/>
      <c r="B48" s="1555"/>
      <c r="C48" s="1555"/>
      <c r="D48" s="288"/>
      <c r="K48" s="1079"/>
      <c r="L48" s="1555"/>
      <c r="M48" s="1555"/>
      <c r="N48" s="1079"/>
      <c r="O48" s="1079"/>
      <c r="P48" s="1079"/>
      <c r="Q48" s="1079"/>
      <c r="R48" s="1555"/>
      <c r="S48" s="1079"/>
      <c r="T48" s="1079"/>
      <c r="U48" s="481"/>
      <c r="V48" s="1079"/>
      <c r="W48" s="1079"/>
      <c r="X48" s="1079"/>
      <c r="Y48" s="1079"/>
      <c r="Z48" s="1079"/>
      <c r="AA48" s="1551"/>
      <c r="AB48" s="503"/>
      <c r="AC48" s="503"/>
      <c r="AD48" s="503"/>
      <c r="AE48" s="503"/>
      <c r="AF48" s="1560">
        <v>11</v>
      </c>
    </row>
    <row r="49" spans="1:32" s="2269" customFormat="1" ht="11.45" customHeight="1">
      <c r="A49" s="912"/>
      <c r="B49" s="1555"/>
      <c r="C49" s="1555"/>
      <c r="D49" s="288"/>
      <c r="K49" s="1079"/>
      <c r="L49" s="1555"/>
      <c r="M49" s="1555"/>
      <c r="N49" s="1079"/>
      <c r="O49" s="1079"/>
      <c r="P49" s="1079"/>
      <c r="Q49" s="1079"/>
      <c r="R49" s="1555"/>
      <c r="S49" s="1079"/>
      <c r="T49" s="1079"/>
      <c r="U49" s="481"/>
      <c r="V49" s="1079"/>
      <c r="W49" s="1079"/>
      <c r="X49" s="1079"/>
      <c r="Y49" s="1079"/>
      <c r="Z49" s="1079"/>
      <c r="AA49" s="1551"/>
      <c r="AB49" s="503"/>
      <c r="AC49" s="503"/>
      <c r="AD49" s="503"/>
      <c r="AE49" s="503"/>
      <c r="AF49" s="1560">
        <v>11</v>
      </c>
    </row>
    <row r="50" spans="1:32" s="2269" customFormat="1" ht="11.45" customHeight="1">
      <c r="A50" s="912"/>
      <c r="B50" s="1555"/>
      <c r="C50" s="1555"/>
      <c r="D50" s="288"/>
      <c r="K50" s="1079"/>
      <c r="L50" s="1555"/>
      <c r="M50" s="1555"/>
      <c r="N50" s="1079"/>
      <c r="O50" s="1079"/>
      <c r="P50" s="1079"/>
      <c r="Q50" s="1079"/>
      <c r="R50" s="1555"/>
      <c r="S50" s="1079"/>
      <c r="T50" s="1079"/>
      <c r="U50" s="481"/>
      <c r="V50" s="1079"/>
      <c r="W50" s="1079"/>
      <c r="X50" s="1079"/>
      <c r="Y50" s="1079"/>
      <c r="Z50" s="1079"/>
      <c r="AA50" s="1551"/>
      <c r="AB50" s="503"/>
      <c r="AC50" s="503"/>
      <c r="AD50" s="503"/>
      <c r="AE50" s="503"/>
      <c r="AF50" s="1560">
        <v>11</v>
      </c>
    </row>
    <row r="51" spans="1:32" s="2269" customFormat="1" ht="11.45" customHeight="1">
      <c r="A51" s="912"/>
      <c r="B51" s="1555"/>
      <c r="C51" s="1555"/>
      <c r="D51" s="288"/>
      <c r="K51" s="1079"/>
      <c r="L51" s="1555"/>
      <c r="M51" s="1555"/>
      <c r="N51" s="1079"/>
      <c r="O51" s="1079"/>
      <c r="P51" s="1079"/>
      <c r="Q51" s="1079"/>
      <c r="R51" s="1555"/>
      <c r="S51" s="1079"/>
      <c r="T51" s="1079"/>
      <c r="U51" s="481"/>
      <c r="V51" s="1079"/>
      <c r="W51" s="1079"/>
      <c r="X51" s="1079"/>
      <c r="Y51" s="1079"/>
      <c r="Z51" s="1079"/>
      <c r="AA51" s="1551"/>
      <c r="AB51" s="503"/>
      <c r="AC51" s="503"/>
      <c r="AD51" s="503"/>
      <c r="AE51" s="503"/>
      <c r="AF51" s="1560">
        <v>11</v>
      </c>
    </row>
    <row r="52" spans="1:32" s="2269" customFormat="1" ht="11.45" customHeight="1">
      <c r="A52" s="912"/>
      <c r="B52" s="1555"/>
      <c r="C52" s="1555"/>
      <c r="D52" s="288"/>
      <c r="K52" s="1079"/>
      <c r="L52" s="1555"/>
      <c r="M52" s="1555"/>
      <c r="N52" s="1079"/>
      <c r="O52" s="1079"/>
      <c r="P52" s="1079"/>
      <c r="Q52" s="1079"/>
      <c r="R52" s="1555"/>
      <c r="S52" s="1079"/>
      <c r="T52" s="1079"/>
      <c r="U52" s="481"/>
      <c r="V52" s="1079"/>
      <c r="W52" s="1079"/>
      <c r="X52" s="1079"/>
      <c r="Y52" s="1079"/>
      <c r="Z52" s="1079"/>
      <c r="AA52" s="1551"/>
      <c r="AB52" s="503"/>
      <c r="AC52" s="503"/>
      <c r="AD52" s="503"/>
      <c r="AE52" s="503"/>
      <c r="AF52" s="1560">
        <v>11</v>
      </c>
    </row>
    <row r="53" spans="1:32" s="2269" customFormat="1" ht="11.45" customHeight="1">
      <c r="A53" s="912"/>
      <c r="B53" s="1555"/>
      <c r="C53" s="1555"/>
      <c r="D53" s="288"/>
      <c r="K53" s="1079"/>
      <c r="L53" s="1555"/>
      <c r="M53" s="1555"/>
      <c r="N53" s="1079"/>
      <c r="O53" s="1079"/>
      <c r="P53" s="1079"/>
      <c r="Q53" s="1079"/>
      <c r="R53" s="1555"/>
      <c r="S53" s="1079"/>
      <c r="T53" s="1079"/>
      <c r="U53" s="481"/>
      <c r="V53" s="1079"/>
      <c r="W53" s="1079"/>
      <c r="X53" s="1079"/>
      <c r="Y53" s="1079"/>
      <c r="Z53" s="1079"/>
      <c r="AA53" s="1551"/>
      <c r="AB53" s="503"/>
      <c r="AC53" s="503"/>
      <c r="AD53" s="503"/>
      <c r="AE53" s="503"/>
      <c r="AF53" s="1560">
        <v>11</v>
      </c>
    </row>
    <row r="54" spans="1:32" s="2269" customFormat="1" ht="11.45" customHeight="1">
      <c r="A54" s="912"/>
      <c r="B54" s="1555"/>
      <c r="C54" s="1555"/>
      <c r="D54" s="288"/>
      <c r="K54" s="1079"/>
      <c r="L54" s="1555"/>
      <c r="M54" s="1555"/>
      <c r="N54" s="1079"/>
      <c r="O54" s="1079"/>
      <c r="P54" s="1079"/>
      <c r="Q54" s="1079"/>
      <c r="R54" s="1555"/>
      <c r="S54" s="1079"/>
      <c r="T54" s="1079"/>
      <c r="U54" s="481"/>
      <c r="V54" s="1079"/>
      <c r="W54" s="1079"/>
      <c r="X54" s="1079"/>
      <c r="Y54" s="1079"/>
      <c r="Z54" s="1079"/>
      <c r="AA54" s="1551"/>
      <c r="AB54" s="503"/>
      <c r="AC54" s="503"/>
      <c r="AD54" s="503"/>
      <c r="AE54" s="503"/>
      <c r="AF54" s="1560">
        <v>11</v>
      </c>
    </row>
    <row r="55" spans="1:32" s="2269" customFormat="1" ht="11.45" customHeight="1">
      <c r="A55" s="912"/>
      <c r="B55" s="1555"/>
      <c r="C55" s="1555"/>
      <c r="D55" s="288"/>
      <c r="K55" s="1079"/>
      <c r="L55" s="1555"/>
      <c r="M55" s="1555"/>
      <c r="N55" s="1079"/>
      <c r="O55" s="1079"/>
      <c r="P55" s="1079"/>
      <c r="Q55" s="1079"/>
      <c r="R55" s="1555"/>
      <c r="S55" s="1079"/>
      <c r="T55" s="1079"/>
      <c r="U55" s="481"/>
      <c r="V55" s="1079"/>
      <c r="W55" s="1079"/>
      <c r="X55" s="1079"/>
      <c r="Y55" s="1079"/>
      <c r="Z55" s="1079"/>
      <c r="AA55" s="1551"/>
      <c r="AB55" s="503"/>
      <c r="AC55" s="503"/>
      <c r="AD55" s="503"/>
      <c r="AE55" s="503"/>
      <c r="AF55" s="1560">
        <v>11</v>
      </c>
    </row>
    <row r="56" spans="1:32" s="2269" customFormat="1" ht="11.45" customHeight="1">
      <c r="A56" s="912"/>
      <c r="B56" s="1555"/>
      <c r="C56" s="1555"/>
      <c r="D56" s="288"/>
      <c r="K56" s="1079"/>
      <c r="L56" s="1555"/>
      <c r="M56" s="1555"/>
      <c r="N56" s="1079"/>
      <c r="O56" s="1079"/>
      <c r="P56" s="1079"/>
      <c r="Q56" s="1079"/>
      <c r="R56" s="1555"/>
      <c r="S56" s="1079"/>
      <c r="T56" s="1079"/>
      <c r="U56" s="481"/>
      <c r="V56" s="1079"/>
      <c r="W56" s="1079"/>
      <c r="X56" s="1079"/>
      <c r="Y56" s="1079"/>
      <c r="Z56" s="1079"/>
      <c r="AA56" s="1551"/>
      <c r="AB56" s="503"/>
      <c r="AC56" s="503"/>
      <c r="AD56" s="503"/>
      <c r="AE56" s="503"/>
      <c r="AF56" s="1560">
        <v>11</v>
      </c>
    </row>
    <row r="57" spans="1:32" s="2269" customFormat="1" ht="11.45" customHeight="1">
      <c r="A57" s="912"/>
      <c r="B57" s="1555"/>
      <c r="C57" s="1555"/>
      <c r="D57" s="288"/>
      <c r="K57" s="1079"/>
      <c r="L57" s="1555"/>
      <c r="M57" s="1555"/>
      <c r="N57" s="1079"/>
      <c r="O57" s="1079"/>
      <c r="P57" s="1079"/>
      <c r="Q57" s="1079"/>
      <c r="R57" s="1555"/>
      <c r="S57" s="1079"/>
      <c r="T57" s="1079"/>
      <c r="U57" s="481"/>
      <c r="V57" s="1079"/>
      <c r="W57" s="1079"/>
      <c r="X57" s="1079"/>
      <c r="Y57" s="1079"/>
      <c r="Z57" s="1079"/>
      <c r="AA57" s="1551"/>
      <c r="AB57" s="503"/>
      <c r="AC57" s="503"/>
      <c r="AD57" s="503"/>
      <c r="AE57" s="503"/>
      <c r="AF57" s="1560">
        <v>11</v>
      </c>
    </row>
    <row r="58" spans="1:32" s="2269" customFormat="1" ht="11.45" customHeight="1">
      <c r="A58" s="912"/>
      <c r="B58" s="1555"/>
      <c r="C58" s="1555"/>
      <c r="D58" s="288"/>
      <c r="K58" s="1079"/>
      <c r="L58" s="1555"/>
      <c r="M58" s="1555"/>
      <c r="N58" s="1079"/>
      <c r="O58" s="1079"/>
      <c r="P58" s="1079"/>
      <c r="Q58" s="1079"/>
      <c r="R58" s="1555"/>
      <c r="S58" s="1079"/>
      <c r="T58" s="1079"/>
      <c r="U58" s="481"/>
      <c r="V58" s="1079"/>
      <c r="W58" s="1079"/>
      <c r="X58" s="1079"/>
      <c r="Y58" s="1079"/>
      <c r="Z58" s="1079"/>
      <c r="AA58" s="1551"/>
      <c r="AB58" s="503"/>
      <c r="AC58" s="503"/>
      <c r="AD58" s="503"/>
      <c r="AE58" s="503"/>
      <c r="AF58" s="1560">
        <v>11</v>
      </c>
    </row>
    <row r="59" spans="1:32" s="2269" customFormat="1" ht="11.45" customHeight="1">
      <c r="A59" s="912"/>
      <c r="B59" s="1555"/>
      <c r="C59" s="1555"/>
      <c r="D59" s="288"/>
      <c r="K59" s="1079"/>
      <c r="L59" s="1555"/>
      <c r="M59" s="1555"/>
      <c r="N59" s="1079"/>
      <c r="O59" s="1079"/>
      <c r="P59" s="1079"/>
      <c r="Q59" s="1079"/>
      <c r="R59" s="1555"/>
      <c r="S59" s="1079"/>
      <c r="T59" s="1079"/>
      <c r="U59" s="481"/>
      <c r="V59" s="1079"/>
      <c r="W59" s="1079"/>
      <c r="X59" s="1079"/>
      <c r="Y59" s="1079"/>
      <c r="Z59" s="1079"/>
      <c r="AA59" s="1551"/>
      <c r="AB59" s="503"/>
      <c r="AC59" s="503"/>
      <c r="AD59" s="503"/>
      <c r="AE59" s="503"/>
      <c r="AF59" s="1560">
        <v>11</v>
      </c>
    </row>
    <row r="60" spans="1:32" s="2269" customFormat="1" ht="11.45" customHeight="1">
      <c r="A60" s="912"/>
      <c r="B60" s="1555"/>
      <c r="C60" s="1555"/>
      <c r="D60" s="288"/>
      <c r="K60" s="1079"/>
      <c r="L60" s="1555"/>
      <c r="M60" s="1555"/>
      <c r="N60" s="1079"/>
      <c r="O60" s="1079"/>
      <c r="P60" s="1079"/>
      <c r="Q60" s="1079"/>
      <c r="R60" s="1555"/>
      <c r="S60" s="1079"/>
      <c r="T60" s="1079"/>
      <c r="U60" s="481"/>
      <c r="V60" s="1079"/>
      <c r="W60" s="1079"/>
      <c r="X60" s="1079"/>
      <c r="Y60" s="1079"/>
      <c r="Z60" s="1079"/>
      <c r="AA60" s="1551"/>
      <c r="AB60" s="503"/>
      <c r="AC60" s="503"/>
      <c r="AD60" s="503"/>
      <c r="AE60" s="503"/>
      <c r="AF60" s="1560">
        <v>11</v>
      </c>
    </row>
    <row r="61" spans="1:32" s="2269" customFormat="1" ht="11.45" customHeight="1">
      <c r="A61" s="912"/>
      <c r="B61" s="1555"/>
      <c r="C61" s="1555"/>
      <c r="D61" s="288"/>
      <c r="K61" s="1079"/>
      <c r="L61" s="1555"/>
      <c r="M61" s="1555"/>
      <c r="N61" s="1079"/>
      <c r="O61" s="1079"/>
      <c r="P61" s="1079"/>
      <c r="Q61" s="1079"/>
      <c r="R61" s="1555"/>
      <c r="S61" s="1079"/>
      <c r="T61" s="1079"/>
      <c r="U61" s="481"/>
      <c r="V61" s="1079"/>
      <c r="W61" s="1079"/>
      <c r="X61" s="1079"/>
      <c r="Y61" s="1079"/>
      <c r="Z61" s="1079"/>
      <c r="AA61" s="1551"/>
      <c r="AB61" s="503"/>
      <c r="AC61" s="503"/>
      <c r="AD61" s="503"/>
      <c r="AE61" s="503"/>
      <c r="AF61" s="1560">
        <v>11</v>
      </c>
    </row>
    <row r="62" spans="1:32" s="2269" customFormat="1" ht="11.45" customHeight="1">
      <c r="A62" s="912"/>
      <c r="B62" s="1555"/>
      <c r="C62" s="1555"/>
      <c r="D62" s="288"/>
      <c r="K62" s="1079"/>
      <c r="L62" s="1555"/>
      <c r="M62" s="1555"/>
      <c r="N62" s="1079"/>
      <c r="O62" s="1079"/>
      <c r="P62" s="1079"/>
      <c r="Q62" s="1079"/>
      <c r="R62" s="1555"/>
      <c r="S62" s="1079"/>
      <c r="T62" s="1079"/>
      <c r="U62" s="481"/>
      <c r="V62" s="1079"/>
      <c r="W62" s="1079"/>
      <c r="X62" s="1079"/>
      <c r="Y62" s="1079"/>
      <c r="Z62" s="1079"/>
      <c r="AA62" s="1551"/>
      <c r="AB62" s="503"/>
      <c r="AC62" s="503"/>
      <c r="AD62" s="503"/>
      <c r="AE62" s="503"/>
      <c r="AF62" s="1560">
        <v>11</v>
      </c>
    </row>
    <row r="63" spans="1:32" s="2269" customFormat="1" ht="11.45" customHeight="1">
      <c r="A63" s="912"/>
      <c r="B63" s="1555"/>
      <c r="C63" s="1555"/>
      <c r="D63" s="288"/>
      <c r="K63" s="1079"/>
      <c r="L63" s="1555"/>
      <c r="M63" s="1555"/>
      <c r="N63" s="1079"/>
      <c r="O63" s="1079"/>
      <c r="P63" s="1079"/>
      <c r="Q63" s="1079"/>
      <c r="R63" s="1555"/>
      <c r="S63" s="1079"/>
      <c r="T63" s="1079"/>
      <c r="U63" s="481"/>
      <c r="V63" s="1079"/>
      <c r="W63" s="1079"/>
      <c r="X63" s="1079"/>
      <c r="Y63" s="1079"/>
      <c r="Z63" s="1079"/>
      <c r="AA63" s="1551"/>
      <c r="AB63" s="503"/>
      <c r="AC63" s="503"/>
      <c r="AD63" s="503"/>
      <c r="AE63" s="503"/>
      <c r="AF63" s="1560">
        <v>11</v>
      </c>
    </row>
    <row r="64" spans="1:32" s="2269" customFormat="1" ht="11.45" customHeight="1">
      <c r="A64" s="912"/>
      <c r="B64" s="1555"/>
      <c r="C64" s="1555"/>
      <c r="D64" s="288"/>
      <c r="K64" s="1079"/>
      <c r="L64" s="1555"/>
      <c r="M64" s="1555"/>
      <c r="N64" s="1079"/>
      <c r="O64" s="1079"/>
      <c r="P64" s="1079"/>
      <c r="Q64" s="1079"/>
      <c r="R64" s="1555"/>
      <c r="S64" s="1079"/>
      <c r="T64" s="1079"/>
      <c r="U64" s="481"/>
      <c r="V64" s="1079"/>
      <c r="W64" s="1079"/>
      <c r="X64" s="1079"/>
      <c r="Y64" s="1079"/>
      <c r="Z64" s="1079"/>
      <c r="AA64" s="1551"/>
      <c r="AB64" s="503"/>
      <c r="AC64" s="503"/>
      <c r="AD64" s="503"/>
      <c r="AE64" s="503"/>
      <c r="AF64" s="1560">
        <v>11</v>
      </c>
    </row>
    <row r="65" spans="1:32" s="2269" customFormat="1" ht="11.45" customHeight="1">
      <c r="A65" s="912"/>
      <c r="B65" s="1555"/>
      <c r="C65" s="1555"/>
      <c r="D65" s="288"/>
      <c r="K65" s="1079"/>
      <c r="L65" s="1555"/>
      <c r="M65" s="1555"/>
      <c r="N65" s="1079"/>
      <c r="O65" s="1079"/>
      <c r="P65" s="1079"/>
      <c r="Q65" s="1079"/>
      <c r="R65" s="1555"/>
      <c r="S65" s="1079"/>
      <c r="T65" s="1079"/>
      <c r="U65" s="481"/>
      <c r="V65" s="1079"/>
      <c r="W65" s="1079"/>
      <c r="X65" s="1079"/>
      <c r="Y65" s="1079"/>
      <c r="Z65" s="1079"/>
      <c r="AA65" s="1551"/>
      <c r="AB65" s="503"/>
      <c r="AC65" s="503"/>
      <c r="AD65" s="503"/>
      <c r="AE65" s="503"/>
      <c r="AF65" s="1560">
        <v>11</v>
      </c>
    </row>
    <row r="66" spans="1:32" s="2269" customFormat="1" ht="11.45" customHeight="1">
      <c r="A66" s="912"/>
      <c r="B66" s="1555"/>
      <c r="C66" s="1555"/>
      <c r="D66" s="288"/>
      <c r="K66" s="1079"/>
      <c r="L66" s="1555"/>
      <c r="M66" s="1555"/>
      <c r="N66" s="1079"/>
      <c r="O66" s="1079"/>
      <c r="P66" s="1079"/>
      <c r="Q66" s="1079"/>
      <c r="R66" s="1555"/>
      <c r="S66" s="1079"/>
      <c r="T66" s="1079"/>
      <c r="U66" s="481"/>
      <c r="V66" s="1079"/>
      <c r="W66" s="1079"/>
      <c r="X66" s="1079"/>
      <c r="Y66" s="1079"/>
      <c r="Z66" s="1079"/>
      <c r="AA66" s="1551"/>
      <c r="AB66" s="503"/>
      <c r="AC66" s="503"/>
      <c r="AD66" s="503"/>
      <c r="AE66" s="503"/>
      <c r="AF66" s="1560">
        <v>11</v>
      </c>
    </row>
    <row r="67" spans="1:32" s="2269" customFormat="1" ht="11.45" customHeight="1">
      <c r="A67" s="912"/>
      <c r="B67" s="1555"/>
      <c r="C67" s="1555"/>
      <c r="D67" s="288"/>
      <c r="K67" s="1079"/>
      <c r="L67" s="1555"/>
      <c r="M67" s="1555"/>
      <c r="N67" s="1079"/>
      <c r="O67" s="1079"/>
      <c r="P67" s="1079"/>
      <c r="Q67" s="1079"/>
      <c r="R67" s="1555"/>
      <c r="S67" s="1079"/>
      <c r="T67" s="1079"/>
      <c r="U67" s="481"/>
      <c r="V67" s="1079"/>
      <c r="W67" s="1079"/>
      <c r="X67" s="1079"/>
      <c r="Y67" s="1079"/>
      <c r="Z67" s="1079"/>
      <c r="AA67" s="1551"/>
      <c r="AB67" s="503"/>
      <c r="AC67" s="503"/>
      <c r="AD67" s="503"/>
      <c r="AE67" s="503"/>
      <c r="AF67" s="1560">
        <v>11</v>
      </c>
    </row>
    <row r="68" spans="1:32" s="2269" customFormat="1" ht="11.45" customHeight="1">
      <c r="A68" s="912"/>
      <c r="B68" s="1555"/>
      <c r="C68" s="1555"/>
      <c r="D68" s="288"/>
      <c r="K68" s="1079"/>
      <c r="L68" s="1555"/>
      <c r="M68" s="1555"/>
      <c r="N68" s="1079"/>
      <c r="O68" s="1079"/>
      <c r="P68" s="1079"/>
      <c r="Q68" s="1079"/>
      <c r="R68" s="1555"/>
      <c r="S68" s="1079"/>
      <c r="T68" s="1079"/>
      <c r="U68" s="481"/>
      <c r="V68" s="1079"/>
      <c r="W68" s="1079"/>
      <c r="X68" s="1079"/>
      <c r="Y68" s="1079"/>
      <c r="Z68" s="1079"/>
      <c r="AA68" s="1551"/>
      <c r="AB68" s="503"/>
      <c r="AC68" s="503"/>
      <c r="AD68" s="503"/>
      <c r="AE68" s="503"/>
      <c r="AF68" s="1560">
        <v>11</v>
      </c>
    </row>
    <row r="69" spans="1:32" s="2269" customFormat="1" ht="11.45" customHeight="1">
      <c r="A69" s="912"/>
      <c r="B69" s="1555"/>
      <c r="C69" s="1555"/>
      <c r="D69" s="288"/>
      <c r="K69" s="1079"/>
      <c r="L69" s="1555"/>
      <c r="M69" s="1555"/>
      <c r="N69" s="1079"/>
      <c r="O69" s="1079"/>
      <c r="P69" s="1079"/>
      <c r="Q69" s="1079"/>
      <c r="R69" s="1555"/>
      <c r="S69" s="1079"/>
      <c r="T69" s="1079"/>
      <c r="U69" s="481"/>
      <c r="V69" s="1079"/>
      <c r="W69" s="1079"/>
      <c r="X69" s="1079"/>
      <c r="Y69" s="1079"/>
      <c r="Z69" s="1079"/>
      <c r="AA69" s="1551"/>
      <c r="AB69" s="503"/>
      <c r="AC69" s="503"/>
      <c r="AD69" s="503"/>
      <c r="AE69" s="503"/>
      <c r="AF69" s="1560">
        <v>11</v>
      </c>
    </row>
    <row r="70" spans="1:32" s="2269" customFormat="1" ht="11.45" customHeight="1">
      <c r="A70" s="912"/>
      <c r="B70" s="1555"/>
      <c r="C70" s="1555"/>
      <c r="D70" s="288"/>
      <c r="K70" s="1079"/>
      <c r="L70" s="1555"/>
      <c r="M70" s="1555"/>
      <c r="N70" s="1079"/>
      <c r="O70" s="1079"/>
      <c r="P70" s="1079"/>
      <c r="Q70" s="1079"/>
      <c r="R70" s="1555"/>
      <c r="S70" s="1079"/>
      <c r="T70" s="1079"/>
      <c r="U70" s="481"/>
      <c r="V70" s="1079"/>
      <c r="W70" s="1079"/>
      <c r="X70" s="1079"/>
      <c r="Y70" s="1079"/>
      <c r="Z70" s="1079"/>
      <c r="AA70" s="1551"/>
      <c r="AB70" s="503"/>
      <c r="AC70" s="503"/>
      <c r="AD70" s="503"/>
      <c r="AE70" s="503"/>
      <c r="AF70" s="1560">
        <v>11</v>
      </c>
    </row>
    <row r="71" spans="1:32" s="2269" customFormat="1" ht="11.45" customHeight="1">
      <c r="A71" s="912"/>
      <c r="B71" s="1555"/>
      <c r="C71" s="1555"/>
      <c r="D71" s="288"/>
      <c r="K71" s="1079"/>
      <c r="L71" s="1555"/>
      <c r="M71" s="1555"/>
      <c r="N71" s="1079"/>
      <c r="O71" s="1079"/>
      <c r="P71" s="1079"/>
      <c r="Q71" s="1079"/>
      <c r="R71" s="1555"/>
      <c r="S71" s="1079"/>
      <c r="T71" s="1079"/>
      <c r="U71" s="481"/>
      <c r="V71" s="1079"/>
      <c r="W71" s="1079"/>
      <c r="X71" s="1079"/>
      <c r="Y71" s="1079"/>
      <c r="Z71" s="1079"/>
      <c r="AA71" s="1551"/>
      <c r="AB71" s="503"/>
      <c r="AC71" s="503"/>
      <c r="AD71" s="503"/>
      <c r="AE71" s="503"/>
      <c r="AF71" s="1560">
        <v>11</v>
      </c>
    </row>
    <row r="72" spans="1:32" s="2269" customFormat="1" ht="11.45" customHeight="1">
      <c r="A72" s="912"/>
      <c r="B72" s="1555"/>
      <c r="C72" s="1555"/>
      <c r="D72" s="288"/>
      <c r="K72" s="1079"/>
      <c r="L72" s="1555"/>
      <c r="M72" s="1555"/>
      <c r="N72" s="1079"/>
      <c r="O72" s="1079"/>
      <c r="P72" s="1079"/>
      <c r="Q72" s="1079"/>
      <c r="R72" s="1555"/>
      <c r="S72" s="1079"/>
      <c r="T72" s="1079"/>
      <c r="U72" s="481"/>
      <c r="V72" s="1079"/>
      <c r="W72" s="1079"/>
      <c r="X72" s="1079"/>
      <c r="Y72" s="1079"/>
      <c r="Z72" s="1079"/>
      <c r="AA72" s="1551"/>
      <c r="AB72" s="503"/>
      <c r="AC72" s="503"/>
      <c r="AD72" s="503"/>
      <c r="AE72" s="503"/>
      <c r="AF72" s="1560">
        <v>11</v>
      </c>
    </row>
    <row r="73" spans="1:32" s="2269" customFormat="1" ht="11.45" customHeight="1">
      <c r="A73" s="912"/>
      <c r="B73" s="1555"/>
      <c r="C73" s="1555"/>
      <c r="D73" s="288"/>
      <c r="K73" s="1079"/>
      <c r="L73" s="1555"/>
      <c r="M73" s="1555"/>
      <c r="N73" s="1079"/>
      <c r="O73" s="1079"/>
      <c r="P73" s="1079"/>
      <c r="Q73" s="1079"/>
      <c r="R73" s="1555"/>
      <c r="S73" s="1079"/>
      <c r="T73" s="1079"/>
      <c r="U73" s="481"/>
      <c r="V73" s="1079"/>
      <c r="W73" s="1079"/>
      <c r="X73" s="1079"/>
      <c r="Y73" s="1079"/>
      <c r="Z73" s="1079"/>
      <c r="AA73" s="1551"/>
      <c r="AB73" s="503"/>
      <c r="AC73" s="503"/>
      <c r="AD73" s="503"/>
      <c r="AE73" s="503"/>
      <c r="AF73" s="1560">
        <v>11</v>
      </c>
    </row>
    <row r="74" spans="1:32" s="2269" customFormat="1" ht="11.45" customHeight="1">
      <c r="A74" s="912"/>
      <c r="B74" s="1555"/>
      <c r="C74" s="1555"/>
      <c r="D74" s="288"/>
      <c r="K74" s="1079"/>
      <c r="L74" s="1555"/>
      <c r="M74" s="1555"/>
      <c r="N74" s="1079"/>
      <c r="O74" s="1079"/>
      <c r="P74" s="1079"/>
      <c r="Q74" s="1079"/>
      <c r="R74" s="1555"/>
      <c r="S74" s="1079"/>
      <c r="T74" s="1079"/>
      <c r="U74" s="481"/>
      <c r="V74" s="1079"/>
      <c r="W74" s="1079"/>
      <c r="X74" s="1079"/>
      <c r="Y74" s="1079"/>
      <c r="Z74" s="1079"/>
      <c r="AA74" s="1551"/>
      <c r="AB74" s="503"/>
      <c r="AC74" s="503"/>
      <c r="AD74" s="503"/>
      <c r="AE74" s="503"/>
      <c r="AF74" s="1560">
        <v>11</v>
      </c>
    </row>
    <row r="75" spans="1:32" s="2269" customFormat="1" ht="11.45" customHeight="1">
      <c r="A75" s="912"/>
      <c r="B75" s="1555"/>
      <c r="C75" s="1555"/>
      <c r="D75" s="288"/>
      <c r="K75" s="1079"/>
      <c r="L75" s="1555"/>
      <c r="M75" s="1555"/>
      <c r="N75" s="1079"/>
      <c r="O75" s="1079"/>
      <c r="P75" s="1079"/>
      <c r="Q75" s="1079"/>
      <c r="R75" s="1555"/>
      <c r="S75" s="1079"/>
      <c r="T75" s="1079"/>
      <c r="U75" s="481"/>
      <c r="V75" s="1079"/>
      <c r="W75" s="1079"/>
      <c r="X75" s="1079"/>
      <c r="Y75" s="1079"/>
      <c r="Z75" s="1079"/>
      <c r="AA75" s="1551"/>
      <c r="AB75" s="503"/>
      <c r="AC75" s="503"/>
      <c r="AD75" s="503"/>
      <c r="AE75" s="503"/>
      <c r="AF75" s="1560">
        <v>11</v>
      </c>
    </row>
    <row r="76" spans="1:32" s="2269" customFormat="1" ht="11.45" customHeight="1">
      <c r="A76" s="912"/>
      <c r="B76" s="1555"/>
      <c r="C76" s="1555"/>
      <c r="D76" s="288"/>
      <c r="K76" s="1079"/>
      <c r="L76" s="1555"/>
      <c r="M76" s="1555"/>
      <c r="N76" s="1079"/>
      <c r="O76" s="1079"/>
      <c r="P76" s="1079"/>
      <c r="Q76" s="1079"/>
      <c r="R76" s="1555"/>
      <c r="S76" s="1079"/>
      <c r="T76" s="1079"/>
      <c r="U76" s="481"/>
      <c r="V76" s="1079"/>
      <c r="W76" s="1079"/>
      <c r="X76" s="1079"/>
      <c r="Y76" s="1079"/>
      <c r="Z76" s="1079"/>
      <c r="AA76" s="1551"/>
      <c r="AB76" s="503"/>
      <c r="AC76" s="503"/>
      <c r="AD76" s="503"/>
      <c r="AE76" s="503"/>
      <c r="AF76" s="1560">
        <v>11</v>
      </c>
    </row>
    <row r="77" spans="1:32" s="2269" customFormat="1" ht="11.45" customHeight="1">
      <c r="A77" s="912"/>
      <c r="B77" s="1555"/>
      <c r="C77" s="1555"/>
      <c r="D77" s="288"/>
      <c r="K77" s="1079"/>
      <c r="L77" s="1555"/>
      <c r="M77" s="1555"/>
      <c r="N77" s="1079"/>
      <c r="O77" s="1079"/>
      <c r="P77" s="1079"/>
      <c r="Q77" s="1079"/>
      <c r="R77" s="1555"/>
      <c r="S77" s="1079"/>
      <c r="T77" s="1079"/>
      <c r="U77" s="481"/>
      <c r="V77" s="1079"/>
      <c r="W77" s="1079"/>
      <c r="X77" s="1079"/>
      <c r="Y77" s="1079"/>
      <c r="Z77" s="1079"/>
      <c r="AA77" s="1551"/>
      <c r="AB77" s="503"/>
      <c r="AC77" s="503"/>
      <c r="AD77" s="503"/>
      <c r="AE77" s="503"/>
      <c r="AF77" s="1560">
        <v>11</v>
      </c>
    </row>
    <row r="78" spans="1:32" s="2269" customFormat="1" ht="11.45" customHeight="1">
      <c r="A78" s="912"/>
      <c r="B78" s="1555"/>
      <c r="C78" s="1555"/>
      <c r="D78" s="288"/>
      <c r="K78" s="1079"/>
      <c r="L78" s="1555"/>
      <c r="M78" s="1555"/>
      <c r="N78" s="1079"/>
      <c r="O78" s="1079"/>
      <c r="P78" s="1079"/>
      <c r="Q78" s="1079"/>
      <c r="R78" s="1555"/>
      <c r="S78" s="1079"/>
      <c r="T78" s="1079"/>
      <c r="U78" s="481"/>
      <c r="V78" s="1079"/>
      <c r="W78" s="1079"/>
      <c r="X78" s="1079"/>
      <c r="Y78" s="1079"/>
      <c r="Z78" s="1079"/>
      <c r="AA78" s="1551"/>
      <c r="AB78" s="503"/>
      <c r="AC78" s="503"/>
      <c r="AD78" s="503"/>
      <c r="AE78" s="503"/>
      <c r="AF78" s="1560">
        <v>11</v>
      </c>
    </row>
    <row r="79" spans="1:32" s="2269" customFormat="1" ht="11.45" customHeight="1">
      <c r="A79" s="912"/>
      <c r="B79" s="1555"/>
      <c r="C79" s="1555"/>
      <c r="D79" s="288"/>
      <c r="K79" s="1079"/>
      <c r="L79" s="1555"/>
      <c r="M79" s="1555"/>
      <c r="N79" s="1079"/>
      <c r="O79" s="1079"/>
      <c r="P79" s="1079"/>
      <c r="Q79" s="1079"/>
      <c r="R79" s="1555"/>
      <c r="S79" s="1079"/>
      <c r="T79" s="1079"/>
      <c r="U79" s="481"/>
      <c r="V79" s="1079"/>
      <c r="W79" s="1079"/>
      <c r="X79" s="1079"/>
      <c r="Y79" s="1079"/>
      <c r="Z79" s="1079"/>
      <c r="AA79" s="1551"/>
      <c r="AB79" s="503"/>
      <c r="AC79" s="503"/>
      <c r="AD79" s="503"/>
      <c r="AE79" s="503"/>
      <c r="AF79" s="1560">
        <v>11</v>
      </c>
    </row>
    <row r="80" spans="1:32" s="2269" customFormat="1" ht="11.45" customHeight="1">
      <c r="A80" s="912"/>
      <c r="B80" s="1555"/>
      <c r="C80" s="1555"/>
      <c r="D80" s="288"/>
      <c r="K80" s="1079"/>
      <c r="L80" s="1555"/>
      <c r="M80" s="1555"/>
      <c r="N80" s="1079"/>
      <c r="O80" s="1079"/>
      <c r="P80" s="1079"/>
      <c r="Q80" s="1079"/>
      <c r="R80" s="1555"/>
      <c r="S80" s="1079"/>
      <c r="T80" s="1079"/>
      <c r="U80" s="481"/>
      <c r="V80" s="1079"/>
      <c r="W80" s="1079"/>
      <c r="X80" s="1079"/>
      <c r="Y80" s="1079"/>
      <c r="Z80" s="1079"/>
      <c r="AA80" s="1551"/>
      <c r="AB80" s="503"/>
      <c r="AC80" s="503"/>
      <c r="AD80" s="503"/>
      <c r="AE80" s="503"/>
      <c r="AF80" s="1560">
        <v>11</v>
      </c>
    </row>
    <row r="81" spans="1:32" s="2269" customFormat="1" ht="11.45" customHeight="1">
      <c r="A81" s="912"/>
      <c r="B81" s="1555"/>
      <c r="C81" s="1555"/>
      <c r="D81" s="288"/>
      <c r="K81" s="1079"/>
      <c r="L81" s="1555"/>
      <c r="M81" s="1555"/>
      <c r="N81" s="1079"/>
      <c r="O81" s="1079"/>
      <c r="P81" s="1079"/>
      <c r="Q81" s="1079"/>
      <c r="R81" s="1555"/>
      <c r="S81" s="1079"/>
      <c r="T81" s="1079"/>
      <c r="U81" s="481"/>
      <c r="V81" s="1079"/>
      <c r="W81" s="1079"/>
      <c r="X81" s="1079"/>
      <c r="Y81" s="1079"/>
      <c r="Z81" s="1079"/>
      <c r="AA81" s="1551"/>
      <c r="AB81" s="503"/>
      <c r="AC81" s="503"/>
      <c r="AD81" s="503"/>
      <c r="AE81" s="503"/>
      <c r="AF81" s="1560">
        <v>11</v>
      </c>
    </row>
    <row r="82" spans="1:32" s="2269" customFormat="1" ht="11.45" customHeight="1">
      <c r="A82" s="912"/>
      <c r="B82" s="1555"/>
      <c r="C82" s="1555"/>
      <c r="D82" s="288"/>
      <c r="K82" s="1079"/>
      <c r="L82" s="1555"/>
      <c r="M82" s="1555"/>
      <c r="N82" s="1079"/>
      <c r="O82" s="1079"/>
      <c r="P82" s="1079"/>
      <c r="Q82" s="1079"/>
      <c r="R82" s="1555"/>
      <c r="S82" s="1079"/>
      <c r="T82" s="1079"/>
      <c r="U82" s="481"/>
      <c r="V82" s="1079"/>
      <c r="W82" s="1079"/>
      <c r="X82" s="1079"/>
      <c r="Y82" s="1079"/>
      <c r="Z82" s="1079"/>
      <c r="AA82" s="1551"/>
      <c r="AB82" s="503"/>
      <c r="AC82" s="503"/>
      <c r="AD82" s="503"/>
      <c r="AE82" s="503"/>
      <c r="AF82" s="1560">
        <v>11</v>
      </c>
    </row>
    <row r="83" spans="1:32" s="2269" customFormat="1" ht="11.45" customHeight="1">
      <c r="A83" s="912"/>
      <c r="B83" s="1555"/>
      <c r="C83" s="1555"/>
      <c r="D83" s="288"/>
      <c r="K83" s="1079"/>
      <c r="L83" s="1555"/>
      <c r="M83" s="1555"/>
      <c r="N83" s="1079"/>
      <c r="O83" s="1079"/>
      <c r="P83" s="1079"/>
      <c r="Q83" s="1079"/>
      <c r="R83" s="1555"/>
      <c r="S83" s="1079"/>
      <c r="T83" s="1079"/>
      <c r="U83" s="481"/>
      <c r="V83" s="1079"/>
      <c r="W83" s="1079"/>
      <c r="X83" s="1079"/>
      <c r="Y83" s="1079"/>
      <c r="Z83" s="1079"/>
      <c r="AA83" s="1551"/>
      <c r="AB83" s="503"/>
      <c r="AC83" s="503"/>
      <c r="AD83" s="503"/>
      <c r="AE83" s="503"/>
      <c r="AF83" s="1560">
        <v>11</v>
      </c>
    </row>
    <row r="84" spans="1:32" s="2269" customFormat="1" ht="11.45" customHeight="1">
      <c r="A84" s="912"/>
      <c r="B84" s="1555"/>
      <c r="C84" s="1555"/>
      <c r="D84" s="288"/>
      <c r="K84" s="1079"/>
      <c r="L84" s="1555"/>
      <c r="M84" s="1555"/>
      <c r="N84" s="1079"/>
      <c r="O84" s="1079"/>
      <c r="P84" s="1079"/>
      <c r="Q84" s="1079"/>
      <c r="R84" s="1555"/>
      <c r="S84" s="1079"/>
      <c r="T84" s="1079"/>
      <c r="U84" s="481"/>
      <c r="V84" s="1079"/>
      <c r="W84" s="1079"/>
      <c r="X84" s="1079"/>
      <c r="Y84" s="1079"/>
      <c r="Z84" s="1079"/>
      <c r="AA84" s="1551"/>
      <c r="AB84" s="503"/>
      <c r="AC84" s="503"/>
      <c r="AD84" s="503"/>
      <c r="AE84" s="503"/>
      <c r="AF84" s="1560">
        <v>11</v>
      </c>
    </row>
    <row r="85" spans="1:32" s="2269" customFormat="1" ht="11.45" customHeight="1">
      <c r="A85" s="912"/>
      <c r="B85" s="1555"/>
      <c r="C85" s="1555"/>
      <c r="D85" s="288"/>
      <c r="K85" s="1079"/>
      <c r="L85" s="1555"/>
      <c r="M85" s="1555"/>
      <c r="N85" s="1079"/>
      <c r="O85" s="1079"/>
      <c r="P85" s="1079"/>
      <c r="Q85" s="1079"/>
      <c r="R85" s="1555"/>
      <c r="S85" s="1079"/>
      <c r="T85" s="1079"/>
      <c r="U85" s="481"/>
      <c r="V85" s="1079"/>
      <c r="W85" s="1079"/>
      <c r="X85" s="1079"/>
      <c r="Y85" s="1079"/>
      <c r="Z85" s="1079"/>
      <c r="AA85" s="1551"/>
      <c r="AB85" s="503"/>
      <c r="AC85" s="503"/>
      <c r="AD85" s="503"/>
      <c r="AE85" s="503"/>
      <c r="AF85" s="1560">
        <v>11</v>
      </c>
    </row>
    <row r="86" spans="1:32" s="2269" customFormat="1" ht="11.45" customHeight="1">
      <c r="A86" s="912"/>
      <c r="B86" s="1555"/>
      <c r="C86" s="1555"/>
      <c r="D86" s="288"/>
      <c r="K86" s="1079"/>
      <c r="L86" s="1555"/>
      <c r="M86" s="1555"/>
      <c r="N86" s="1079"/>
      <c r="O86" s="1079"/>
      <c r="P86" s="1079"/>
      <c r="Q86" s="1079"/>
      <c r="R86" s="1555"/>
      <c r="S86" s="1079"/>
      <c r="T86" s="1079"/>
      <c r="U86" s="481"/>
      <c r="V86" s="1079"/>
      <c r="W86" s="1079"/>
      <c r="X86" s="1079"/>
      <c r="Y86" s="1079"/>
      <c r="Z86" s="1079"/>
      <c r="AA86" s="1551"/>
      <c r="AB86" s="503"/>
      <c r="AC86" s="503"/>
      <c r="AD86" s="503"/>
      <c r="AE86" s="503"/>
      <c r="AF86" s="1560">
        <v>11</v>
      </c>
    </row>
    <row r="87" spans="1:32" s="2269" customFormat="1" ht="11.45" customHeight="1">
      <c r="A87" s="912"/>
      <c r="B87" s="1555"/>
      <c r="C87" s="1555"/>
      <c r="D87" s="288"/>
      <c r="K87" s="1079"/>
      <c r="L87" s="1555"/>
      <c r="M87" s="1555"/>
      <c r="N87" s="1079"/>
      <c r="O87" s="1079"/>
      <c r="P87" s="1079"/>
      <c r="Q87" s="1079"/>
      <c r="R87" s="1555"/>
      <c r="S87" s="1079"/>
      <c r="T87" s="1079"/>
      <c r="U87" s="481"/>
      <c r="V87" s="1079"/>
      <c r="W87" s="1079"/>
      <c r="X87" s="1079"/>
      <c r="Y87" s="1079"/>
      <c r="Z87" s="1079"/>
      <c r="AA87" s="1551"/>
      <c r="AB87" s="503"/>
      <c r="AC87" s="503"/>
      <c r="AD87" s="503"/>
      <c r="AE87" s="503"/>
      <c r="AF87" s="1560">
        <v>11</v>
      </c>
    </row>
    <row r="88" spans="1:32" s="2269" customFormat="1" ht="11.45" customHeight="1">
      <c r="A88" s="912"/>
      <c r="B88" s="1555"/>
      <c r="C88" s="1555"/>
      <c r="D88" s="288"/>
      <c r="K88" s="1079"/>
      <c r="L88" s="1555"/>
      <c r="M88" s="1555"/>
      <c r="N88" s="1079"/>
      <c r="O88" s="1079"/>
      <c r="P88" s="1079"/>
      <c r="Q88" s="1079"/>
      <c r="R88" s="1555"/>
      <c r="S88" s="1079"/>
      <c r="T88" s="1079"/>
      <c r="U88" s="481"/>
      <c r="V88" s="1079"/>
      <c r="W88" s="1079"/>
      <c r="X88" s="1079"/>
      <c r="Y88" s="1079"/>
      <c r="Z88" s="1079"/>
      <c r="AA88" s="1551"/>
      <c r="AB88" s="503"/>
      <c r="AC88" s="503"/>
      <c r="AD88" s="503"/>
      <c r="AE88" s="503"/>
      <c r="AF88" s="1560">
        <v>11</v>
      </c>
    </row>
    <row r="89" spans="1:32" s="2269" customFormat="1" ht="11.45" customHeight="1">
      <c r="A89" s="912"/>
      <c r="B89" s="1555"/>
      <c r="C89" s="1555"/>
      <c r="D89" s="288"/>
      <c r="K89" s="1079"/>
      <c r="L89" s="1555"/>
      <c r="M89" s="1555"/>
      <c r="N89" s="1079"/>
      <c r="O89" s="1079"/>
      <c r="P89" s="1079"/>
      <c r="Q89" s="1079"/>
      <c r="R89" s="1555"/>
      <c r="S89" s="1079"/>
      <c r="T89" s="1079"/>
      <c r="U89" s="481"/>
      <c r="V89" s="1079"/>
      <c r="W89" s="1079"/>
      <c r="X89" s="1079"/>
      <c r="Y89" s="1079"/>
      <c r="Z89" s="1079"/>
      <c r="AA89" s="1551"/>
      <c r="AB89" s="503"/>
      <c r="AC89" s="503"/>
      <c r="AD89" s="503"/>
      <c r="AE89" s="503"/>
      <c r="AF89" s="1560">
        <v>11</v>
      </c>
    </row>
    <row r="90" spans="1:32" s="2269" customFormat="1" ht="11.45" customHeight="1">
      <c r="A90" s="912"/>
      <c r="B90" s="1555"/>
      <c r="C90" s="1555"/>
      <c r="D90" s="288"/>
      <c r="K90" s="1079"/>
      <c r="L90" s="1555"/>
      <c r="M90" s="1555"/>
      <c r="N90" s="1079"/>
      <c r="O90" s="1079"/>
      <c r="P90" s="1079"/>
      <c r="Q90" s="1079"/>
      <c r="R90" s="1555"/>
      <c r="S90" s="1079"/>
      <c r="T90" s="1079"/>
      <c r="U90" s="481"/>
      <c r="V90" s="1079"/>
      <c r="W90" s="1079"/>
      <c r="X90" s="1079"/>
      <c r="Y90" s="1079"/>
      <c r="Z90" s="1079"/>
      <c r="AA90" s="1551"/>
      <c r="AB90" s="503"/>
      <c r="AC90" s="503"/>
      <c r="AD90" s="503"/>
      <c r="AE90" s="503"/>
      <c r="AF90" s="1560">
        <v>11</v>
      </c>
    </row>
    <row r="91" spans="1:32" s="2269" customFormat="1" ht="11.45" customHeight="1">
      <c r="A91" s="912"/>
      <c r="B91" s="1555"/>
      <c r="C91" s="1555"/>
      <c r="D91" s="288"/>
      <c r="K91" s="1079"/>
      <c r="L91" s="1555"/>
      <c r="M91" s="1555"/>
      <c r="N91" s="1079"/>
      <c r="O91" s="1079"/>
      <c r="P91" s="1079"/>
      <c r="Q91" s="1079"/>
      <c r="R91" s="1555"/>
      <c r="S91" s="1079"/>
      <c r="T91" s="1079"/>
      <c r="U91" s="481"/>
      <c r="V91" s="1079"/>
      <c r="W91" s="1079"/>
      <c r="X91" s="1079"/>
      <c r="Y91" s="1079"/>
      <c r="Z91" s="1079"/>
      <c r="AA91" s="1551"/>
      <c r="AB91" s="503"/>
      <c r="AC91" s="503"/>
      <c r="AD91" s="503"/>
      <c r="AE91" s="503"/>
      <c r="AF91" s="1560">
        <v>11</v>
      </c>
    </row>
    <row r="92" spans="1:32" s="2269" customFormat="1" ht="11.45" customHeight="1">
      <c r="A92" s="912"/>
      <c r="B92" s="1555"/>
      <c r="C92" s="1555"/>
      <c r="D92" s="288"/>
      <c r="K92" s="1079"/>
      <c r="L92" s="1555"/>
      <c r="M92" s="1555"/>
      <c r="N92" s="1079"/>
      <c r="O92" s="1079"/>
      <c r="P92" s="1079"/>
      <c r="Q92" s="1079"/>
      <c r="R92" s="1555"/>
      <c r="S92" s="1079"/>
      <c r="T92" s="1079"/>
      <c r="U92" s="481"/>
      <c r="V92" s="1079"/>
      <c r="W92" s="1079"/>
      <c r="X92" s="1079"/>
      <c r="Y92" s="1079"/>
      <c r="Z92" s="1079"/>
      <c r="AA92" s="1551"/>
      <c r="AB92" s="503"/>
      <c r="AC92" s="503"/>
      <c r="AD92" s="503"/>
      <c r="AE92" s="503"/>
      <c r="AF92" s="1560">
        <v>11</v>
      </c>
    </row>
    <row r="93" spans="1:32" s="2269" customFormat="1" ht="11.45" customHeight="1">
      <c r="A93" s="912"/>
      <c r="B93" s="1555"/>
      <c r="C93" s="1555"/>
      <c r="D93" s="288"/>
      <c r="K93" s="1079"/>
      <c r="L93" s="1555"/>
      <c r="M93" s="1555"/>
      <c r="N93" s="1079"/>
      <c r="O93" s="1079"/>
      <c r="P93" s="1079"/>
      <c r="Q93" s="1079"/>
      <c r="R93" s="1555"/>
      <c r="S93" s="1079"/>
      <c r="T93" s="1079"/>
      <c r="U93" s="481"/>
      <c r="V93" s="1079"/>
      <c r="W93" s="1079"/>
      <c r="X93" s="1079"/>
      <c r="Y93" s="1079"/>
      <c r="Z93" s="1079"/>
      <c r="AA93" s="1551"/>
      <c r="AB93" s="503"/>
      <c r="AC93" s="503"/>
      <c r="AD93" s="503"/>
      <c r="AE93" s="503"/>
      <c r="AF93" s="1560">
        <v>11</v>
      </c>
    </row>
    <row r="94" spans="1:32" s="2269" customFormat="1" ht="11.45" customHeight="1">
      <c r="A94" s="912"/>
      <c r="B94" s="1555"/>
      <c r="C94" s="1555"/>
      <c r="D94" s="288"/>
      <c r="K94" s="1079"/>
      <c r="L94" s="1555"/>
      <c r="M94" s="1555"/>
      <c r="N94" s="1079"/>
      <c r="O94" s="1079"/>
      <c r="P94" s="1079"/>
      <c r="Q94" s="1079"/>
      <c r="R94" s="1555"/>
      <c r="S94" s="1079"/>
      <c r="T94" s="1079"/>
      <c r="U94" s="481"/>
      <c r="V94" s="1079"/>
      <c r="W94" s="1079"/>
      <c r="X94" s="1079"/>
      <c r="Y94" s="1079"/>
      <c r="Z94" s="1079"/>
      <c r="AA94" s="1551"/>
      <c r="AB94" s="503"/>
      <c r="AC94" s="503"/>
      <c r="AD94" s="503"/>
      <c r="AE94" s="503"/>
      <c r="AF94" s="1560">
        <v>11</v>
      </c>
    </row>
    <row r="95" spans="1:32" s="2269" customFormat="1" ht="11.45" customHeight="1">
      <c r="A95" s="912"/>
      <c r="B95" s="1555"/>
      <c r="C95" s="1555"/>
      <c r="D95" s="288"/>
      <c r="K95" s="1079"/>
      <c r="L95" s="1555"/>
      <c r="M95" s="1555"/>
      <c r="N95" s="1079"/>
      <c r="O95" s="1079"/>
      <c r="P95" s="1079"/>
      <c r="Q95" s="1079"/>
      <c r="R95" s="1555"/>
      <c r="S95" s="1079"/>
      <c r="T95" s="1079"/>
      <c r="U95" s="481"/>
      <c r="V95" s="1079"/>
      <c r="W95" s="1079"/>
      <c r="X95" s="1079"/>
      <c r="Y95" s="1079"/>
      <c r="Z95" s="1079"/>
      <c r="AA95" s="1551"/>
      <c r="AB95" s="503"/>
      <c r="AC95" s="503"/>
      <c r="AD95" s="503"/>
      <c r="AE95" s="503"/>
      <c r="AF95" s="1560">
        <v>11</v>
      </c>
    </row>
    <row r="96" spans="1:32" s="2269" customFormat="1" ht="11.45" customHeight="1">
      <c r="A96" s="912"/>
      <c r="B96" s="1555"/>
      <c r="C96" s="1555"/>
      <c r="D96" s="288"/>
      <c r="K96" s="1079"/>
      <c r="L96" s="1555"/>
      <c r="M96" s="1555"/>
      <c r="N96" s="1079"/>
      <c r="O96" s="1079"/>
      <c r="P96" s="1079"/>
      <c r="Q96" s="1079"/>
      <c r="R96" s="1555"/>
      <c r="S96" s="1079"/>
      <c r="T96" s="1079"/>
      <c r="U96" s="481"/>
      <c r="V96" s="1079"/>
      <c r="W96" s="1079"/>
      <c r="X96" s="1079"/>
      <c r="Y96" s="1079"/>
      <c r="Z96" s="1079"/>
      <c r="AA96" s="1551"/>
      <c r="AB96" s="503"/>
      <c r="AC96" s="503"/>
      <c r="AD96" s="503"/>
      <c r="AE96" s="503"/>
      <c r="AF96" s="1560">
        <v>11</v>
      </c>
    </row>
    <row r="97" spans="1:32" s="2269" customFormat="1" ht="11.45" customHeight="1">
      <c r="A97" s="912"/>
      <c r="B97" s="1555"/>
      <c r="C97" s="1555"/>
      <c r="D97" s="288"/>
      <c r="K97" s="1079"/>
      <c r="L97" s="1555"/>
      <c r="M97" s="1555"/>
      <c r="N97" s="1079"/>
      <c r="O97" s="1079"/>
      <c r="P97" s="1079"/>
      <c r="Q97" s="1079"/>
      <c r="R97" s="1555"/>
      <c r="S97" s="1079"/>
      <c r="T97" s="1079"/>
      <c r="U97" s="481"/>
      <c r="V97" s="1079"/>
      <c r="W97" s="1079"/>
      <c r="X97" s="1079"/>
      <c r="Y97" s="1079"/>
      <c r="Z97" s="1079"/>
      <c r="AA97" s="1551"/>
      <c r="AB97" s="503"/>
      <c r="AC97" s="503"/>
      <c r="AD97" s="503"/>
      <c r="AE97" s="503"/>
      <c r="AF97" s="1560">
        <v>11</v>
      </c>
    </row>
    <row r="98" spans="1:32" s="2269" customFormat="1" ht="11.45" customHeight="1">
      <c r="A98" s="912"/>
      <c r="B98" s="1555"/>
      <c r="C98" s="1555"/>
      <c r="D98" s="288"/>
      <c r="K98" s="1079"/>
      <c r="L98" s="1555"/>
      <c r="M98" s="1555"/>
      <c r="N98" s="1079"/>
      <c r="O98" s="1079"/>
      <c r="P98" s="1079"/>
      <c r="Q98" s="1079"/>
      <c r="R98" s="1555"/>
      <c r="S98" s="1079"/>
      <c r="T98" s="1079"/>
      <c r="U98" s="481"/>
      <c r="V98" s="1079"/>
      <c r="W98" s="1079"/>
      <c r="X98" s="1079"/>
      <c r="Y98" s="1079"/>
      <c r="Z98" s="1079"/>
      <c r="AA98" s="1551"/>
      <c r="AB98" s="503"/>
      <c r="AC98" s="503"/>
      <c r="AD98" s="503"/>
      <c r="AE98" s="503"/>
      <c r="AF98" s="1560">
        <v>11</v>
      </c>
    </row>
    <row r="99" spans="1:32" s="2269" customFormat="1" ht="11.45" customHeight="1">
      <c r="A99" s="912"/>
      <c r="B99" s="1555"/>
      <c r="C99" s="1555"/>
      <c r="D99" s="288"/>
      <c r="K99" s="1079"/>
      <c r="L99" s="1555"/>
      <c r="M99" s="1555"/>
      <c r="N99" s="1079"/>
      <c r="O99" s="1079"/>
      <c r="P99" s="1079"/>
      <c r="Q99" s="1079"/>
      <c r="R99" s="1555"/>
      <c r="S99" s="1079"/>
      <c r="T99" s="1079"/>
      <c r="U99" s="481"/>
      <c r="V99" s="1079"/>
      <c r="W99" s="1079"/>
      <c r="X99" s="1079"/>
      <c r="Y99" s="1079"/>
      <c r="Z99" s="1079"/>
      <c r="AA99" s="1551"/>
      <c r="AB99" s="503"/>
      <c r="AC99" s="503"/>
      <c r="AD99" s="503"/>
      <c r="AE99" s="503"/>
      <c r="AF99" s="1560">
        <v>11</v>
      </c>
    </row>
    <row r="100" spans="1:32" s="2269" customFormat="1" ht="11.45" customHeight="1">
      <c r="A100" s="912"/>
      <c r="B100" s="1555"/>
      <c r="C100" s="1555"/>
      <c r="D100" s="288"/>
      <c r="K100" s="1079"/>
      <c r="L100" s="1555"/>
      <c r="M100" s="1555"/>
      <c r="N100" s="1079"/>
      <c r="O100" s="1079"/>
      <c r="P100" s="1079"/>
      <c r="Q100" s="1079"/>
      <c r="R100" s="1555"/>
      <c r="S100" s="1079"/>
      <c r="T100" s="1079"/>
      <c r="U100" s="481"/>
      <c r="V100" s="1079"/>
      <c r="W100" s="1079"/>
      <c r="X100" s="1079"/>
      <c r="Y100" s="1079"/>
      <c r="Z100" s="1079"/>
      <c r="AA100" s="1551"/>
      <c r="AB100" s="503"/>
      <c r="AC100" s="503"/>
      <c r="AD100" s="503"/>
      <c r="AE100" s="503"/>
      <c r="AF100" s="1560">
        <v>11</v>
      </c>
    </row>
    <row r="101" spans="1:32" s="2269" customFormat="1" ht="11.45" customHeight="1">
      <c r="A101" s="912"/>
      <c r="B101" s="1555"/>
      <c r="C101" s="1555"/>
      <c r="D101" s="288"/>
      <c r="K101" s="1079"/>
      <c r="L101" s="1555"/>
      <c r="M101" s="1555"/>
      <c r="N101" s="1079"/>
      <c r="O101" s="1079"/>
      <c r="P101" s="1079"/>
      <c r="Q101" s="1079"/>
      <c r="R101" s="1555"/>
      <c r="S101" s="1079"/>
      <c r="T101" s="1079"/>
      <c r="U101" s="481"/>
      <c r="V101" s="1079"/>
      <c r="W101" s="1079"/>
      <c r="X101" s="1079"/>
      <c r="Y101" s="1079"/>
      <c r="Z101" s="1079"/>
      <c r="AA101" s="1551"/>
      <c r="AB101" s="503"/>
      <c r="AC101" s="503"/>
      <c r="AD101" s="503"/>
      <c r="AE101" s="503"/>
      <c r="AF101" s="1560">
        <v>11</v>
      </c>
    </row>
    <row r="102" spans="1:32" s="2269" customFormat="1" ht="11.45" customHeight="1">
      <c r="A102" s="912"/>
      <c r="B102" s="1555"/>
      <c r="C102" s="1555"/>
      <c r="D102" s="288"/>
      <c r="K102" s="1079"/>
      <c r="L102" s="1555"/>
      <c r="M102" s="1555"/>
      <c r="N102" s="1079"/>
      <c r="O102" s="1079"/>
      <c r="P102" s="1079"/>
      <c r="Q102" s="1079"/>
      <c r="R102" s="1555"/>
      <c r="S102" s="1079"/>
      <c r="T102" s="1079"/>
      <c r="U102" s="481"/>
      <c r="V102" s="1079"/>
      <c r="W102" s="1079"/>
      <c r="X102" s="1079"/>
      <c r="Y102" s="1079"/>
      <c r="Z102" s="1079"/>
      <c r="AA102" s="1551"/>
      <c r="AB102" s="503"/>
      <c r="AC102" s="503"/>
      <c r="AD102" s="503"/>
      <c r="AE102" s="503"/>
      <c r="AF102" s="1560">
        <v>11</v>
      </c>
    </row>
    <row r="103" spans="1:32" s="2269" customFormat="1" ht="11.45" customHeight="1">
      <c r="A103" s="912"/>
      <c r="B103" s="1555"/>
      <c r="C103" s="1555"/>
      <c r="D103" s="288"/>
      <c r="K103" s="1079"/>
      <c r="L103" s="1555"/>
      <c r="M103" s="1555"/>
      <c r="N103" s="1079"/>
      <c r="O103" s="1079"/>
      <c r="P103" s="1079"/>
      <c r="Q103" s="1079"/>
      <c r="R103" s="1555"/>
      <c r="S103" s="1079"/>
      <c r="T103" s="1079"/>
      <c r="U103" s="481"/>
      <c r="V103" s="1079"/>
      <c r="W103" s="1079"/>
      <c r="X103" s="1079"/>
      <c r="Y103" s="1079"/>
      <c r="Z103" s="1079"/>
      <c r="AA103" s="1551"/>
      <c r="AB103" s="503"/>
      <c r="AC103" s="503"/>
      <c r="AD103" s="503"/>
      <c r="AE103" s="503"/>
      <c r="AF103" s="1560">
        <v>11</v>
      </c>
    </row>
    <row r="104" spans="1:32" s="2269" customFormat="1" ht="11.45" customHeight="1">
      <c r="A104" s="912"/>
      <c r="B104" s="1555"/>
      <c r="C104" s="1555"/>
      <c r="D104" s="288"/>
      <c r="K104" s="1079"/>
      <c r="L104" s="1555"/>
      <c r="M104" s="1555"/>
      <c r="N104" s="1079"/>
      <c r="O104" s="1079"/>
      <c r="P104" s="1079"/>
      <c r="Q104" s="1079"/>
      <c r="R104" s="1555"/>
      <c r="S104" s="1079"/>
      <c r="T104" s="1079"/>
      <c r="U104" s="481"/>
      <c r="V104" s="1079"/>
      <c r="W104" s="1079"/>
      <c r="X104" s="1079"/>
      <c r="Y104" s="1079"/>
      <c r="Z104" s="1079"/>
      <c r="AA104" s="1551"/>
      <c r="AB104" s="503"/>
      <c r="AC104" s="503"/>
      <c r="AD104" s="503"/>
      <c r="AE104" s="503"/>
      <c r="AF104" s="1560">
        <v>11</v>
      </c>
    </row>
    <row r="105" spans="1:32" s="2269" customFormat="1" ht="11.45" customHeight="1">
      <c r="A105" s="912"/>
      <c r="B105" s="1555"/>
      <c r="C105" s="1555"/>
      <c r="D105" s="288"/>
      <c r="K105" s="1079"/>
      <c r="L105" s="1555"/>
      <c r="M105" s="1555"/>
      <c r="N105" s="1079"/>
      <c r="O105" s="1079"/>
      <c r="P105" s="1079"/>
      <c r="Q105" s="1079"/>
      <c r="R105" s="1555"/>
      <c r="S105" s="1079"/>
      <c r="T105" s="1079"/>
      <c r="U105" s="481"/>
      <c r="V105" s="1079"/>
      <c r="W105" s="1079"/>
      <c r="X105" s="1079"/>
      <c r="Y105" s="1079"/>
      <c r="Z105" s="1079"/>
      <c r="AA105" s="1551"/>
      <c r="AB105" s="503"/>
      <c r="AC105" s="503"/>
      <c r="AD105" s="503"/>
      <c r="AE105" s="503"/>
      <c r="AF105" s="1560">
        <v>11</v>
      </c>
    </row>
    <row r="106" spans="1:32" s="2269" customFormat="1" ht="11.45" customHeight="1">
      <c r="A106" s="912"/>
      <c r="B106" s="1555"/>
      <c r="C106" s="1555"/>
      <c r="D106" s="288"/>
      <c r="K106" s="1079"/>
      <c r="L106" s="1555"/>
      <c r="M106" s="1555"/>
      <c r="N106" s="1079"/>
      <c r="O106" s="1079"/>
      <c r="P106" s="1079"/>
      <c r="Q106" s="1079"/>
      <c r="R106" s="1555"/>
      <c r="S106" s="1079"/>
      <c r="T106" s="1079"/>
      <c r="U106" s="481"/>
      <c r="V106" s="1079"/>
      <c r="W106" s="1079"/>
      <c r="X106" s="1079"/>
      <c r="Y106" s="1079"/>
      <c r="Z106" s="1079"/>
      <c r="AA106" s="1551"/>
      <c r="AB106" s="503"/>
      <c r="AC106" s="503"/>
      <c r="AD106" s="503"/>
      <c r="AE106" s="503"/>
      <c r="AF106" s="1560">
        <v>11</v>
      </c>
    </row>
    <row r="107" spans="1:32" s="2269" customFormat="1" ht="11.45" customHeight="1">
      <c r="A107" s="912"/>
      <c r="B107" s="1555"/>
      <c r="C107" s="1555"/>
      <c r="D107" s="288"/>
      <c r="K107" s="1079"/>
      <c r="L107" s="1555"/>
      <c r="M107" s="1555"/>
      <c r="N107" s="1079"/>
      <c r="O107" s="1079"/>
      <c r="P107" s="1079"/>
      <c r="Q107" s="1079"/>
      <c r="R107" s="1555"/>
      <c r="S107" s="1079"/>
      <c r="T107" s="1079"/>
      <c r="U107" s="481"/>
      <c r="V107" s="1079"/>
      <c r="W107" s="1079"/>
      <c r="X107" s="1079"/>
      <c r="Y107" s="1079"/>
      <c r="Z107" s="1079"/>
      <c r="AA107" s="1551"/>
      <c r="AB107" s="503"/>
      <c r="AC107" s="503"/>
      <c r="AD107" s="503"/>
      <c r="AE107" s="503"/>
      <c r="AF107" s="1560">
        <v>11</v>
      </c>
    </row>
    <row r="108" spans="1:32" s="2269" customFormat="1" ht="11.45" customHeight="1">
      <c r="A108" s="912"/>
      <c r="B108" s="1555"/>
      <c r="C108" s="1555"/>
      <c r="D108" s="288"/>
      <c r="K108" s="1079"/>
      <c r="L108" s="1555"/>
      <c r="M108" s="1555"/>
      <c r="N108" s="1079"/>
      <c r="O108" s="1079"/>
      <c r="P108" s="1079"/>
      <c r="Q108" s="1079"/>
      <c r="R108" s="1555"/>
      <c r="S108" s="1079"/>
      <c r="T108" s="1079"/>
      <c r="U108" s="481"/>
      <c r="V108" s="1079"/>
      <c r="W108" s="1079"/>
      <c r="X108" s="1079"/>
      <c r="Y108" s="1079"/>
      <c r="Z108" s="1079"/>
      <c r="AA108" s="1551"/>
      <c r="AB108" s="503"/>
      <c r="AC108" s="503"/>
      <c r="AD108" s="503"/>
      <c r="AE108" s="503"/>
      <c r="AF108" s="1560">
        <v>11</v>
      </c>
    </row>
    <row r="109" spans="1:32" s="2269" customFormat="1" ht="11.45" customHeight="1">
      <c r="A109" s="912"/>
      <c r="B109" s="1555"/>
      <c r="C109" s="1555"/>
      <c r="D109" s="288"/>
      <c r="K109" s="1079"/>
      <c r="L109" s="1555"/>
      <c r="M109" s="1555"/>
      <c r="N109" s="1079"/>
      <c r="O109" s="1079"/>
      <c r="P109" s="1079"/>
      <c r="Q109" s="1079"/>
      <c r="R109" s="1555"/>
      <c r="S109" s="1079"/>
      <c r="T109" s="1079"/>
      <c r="U109" s="481"/>
      <c r="V109" s="1079"/>
      <c r="W109" s="1079"/>
      <c r="X109" s="1079"/>
      <c r="Y109" s="1079"/>
      <c r="Z109" s="1079"/>
      <c r="AA109" s="1551"/>
      <c r="AB109" s="503"/>
      <c r="AC109" s="503"/>
      <c r="AD109" s="503"/>
      <c r="AE109" s="503"/>
      <c r="AF109" s="1560">
        <v>11</v>
      </c>
    </row>
    <row r="110" spans="1:32" s="2269" customFormat="1" ht="11.45" customHeight="1">
      <c r="A110" s="912"/>
      <c r="B110" s="1555"/>
      <c r="C110" s="1555"/>
      <c r="D110" s="288"/>
      <c r="K110" s="1079"/>
      <c r="L110" s="1555"/>
      <c r="M110" s="1555"/>
      <c r="N110" s="1079"/>
      <c r="O110" s="1079"/>
      <c r="P110" s="1079"/>
      <c r="Q110" s="1079"/>
      <c r="R110" s="1555"/>
      <c r="S110" s="1079"/>
      <c r="T110" s="1079"/>
      <c r="U110" s="481"/>
      <c r="V110" s="1079"/>
      <c r="W110" s="1079"/>
      <c r="X110" s="1079"/>
      <c r="Y110" s="1079"/>
      <c r="Z110" s="1079"/>
      <c r="AA110" s="1551"/>
      <c r="AB110" s="503"/>
      <c r="AC110" s="503"/>
      <c r="AD110" s="503"/>
      <c r="AE110" s="503"/>
      <c r="AF110" s="1560">
        <v>11</v>
      </c>
    </row>
    <row r="111" spans="1:32" s="2269" customFormat="1" ht="11.45" customHeight="1">
      <c r="A111" s="912"/>
      <c r="B111" s="1555"/>
      <c r="C111" s="1555"/>
      <c r="D111" s="288"/>
      <c r="K111" s="1079"/>
      <c r="L111" s="1555"/>
      <c r="M111" s="1555"/>
      <c r="N111" s="1079"/>
      <c r="O111" s="1079"/>
      <c r="P111" s="1079"/>
      <c r="Q111" s="1079"/>
      <c r="R111" s="1555"/>
      <c r="S111" s="1079"/>
      <c r="T111" s="1079"/>
      <c r="U111" s="481"/>
      <c r="V111" s="1079"/>
      <c r="W111" s="1079"/>
      <c r="X111" s="1079"/>
      <c r="Y111" s="1079"/>
      <c r="Z111" s="1079"/>
      <c r="AA111" s="1551"/>
      <c r="AB111" s="503"/>
      <c r="AC111" s="503"/>
      <c r="AD111" s="503"/>
      <c r="AE111" s="503"/>
      <c r="AF111" s="1560">
        <v>11</v>
      </c>
    </row>
    <row r="112" spans="1:32" s="2269" customFormat="1" ht="11.45" customHeight="1">
      <c r="A112" s="912"/>
      <c r="B112" s="1555"/>
      <c r="C112" s="1555"/>
      <c r="D112" s="288"/>
      <c r="K112" s="1079"/>
      <c r="L112" s="1555"/>
      <c r="M112" s="1555"/>
      <c r="N112" s="1079"/>
      <c r="O112" s="1079"/>
      <c r="P112" s="1079"/>
      <c r="Q112" s="1079"/>
      <c r="R112" s="1555"/>
      <c r="S112" s="1079"/>
      <c r="T112" s="1079"/>
      <c r="U112" s="481"/>
      <c r="V112" s="1079"/>
      <c r="W112" s="1079"/>
      <c r="X112" s="1079"/>
      <c r="Y112" s="1079"/>
      <c r="Z112" s="1079"/>
      <c r="AA112" s="1551"/>
      <c r="AB112" s="503"/>
      <c r="AC112" s="503"/>
      <c r="AD112" s="503"/>
      <c r="AE112" s="503"/>
      <c r="AF112" s="1560">
        <v>11</v>
      </c>
    </row>
    <row r="113" spans="1:32" s="2269" customFormat="1" ht="11.45" customHeight="1">
      <c r="A113" s="912"/>
      <c r="B113" s="1555"/>
      <c r="C113" s="1555"/>
      <c r="D113" s="288"/>
      <c r="K113" s="1079"/>
      <c r="L113" s="1555"/>
      <c r="M113" s="1555"/>
      <c r="N113" s="1079"/>
      <c r="O113" s="1079"/>
      <c r="P113" s="1079"/>
      <c r="Q113" s="1079"/>
      <c r="R113" s="1555"/>
      <c r="S113" s="1079"/>
      <c r="T113" s="1079"/>
      <c r="U113" s="481"/>
      <c r="V113" s="1079"/>
      <c r="W113" s="1079"/>
      <c r="X113" s="1079"/>
      <c r="Y113" s="1079"/>
      <c r="Z113" s="1079"/>
      <c r="AA113" s="1551"/>
      <c r="AB113" s="503"/>
      <c r="AC113" s="503"/>
      <c r="AD113" s="503"/>
      <c r="AE113" s="503"/>
      <c r="AF113" s="1560">
        <v>11</v>
      </c>
    </row>
    <row r="114" spans="1:32" s="2269" customFormat="1" ht="11.45" customHeight="1">
      <c r="A114" s="912"/>
      <c r="B114" s="1555"/>
      <c r="C114" s="1555"/>
      <c r="D114" s="288"/>
      <c r="K114" s="1079"/>
      <c r="L114" s="1555"/>
      <c r="M114" s="1555"/>
      <c r="N114" s="1079"/>
      <c r="O114" s="1079"/>
      <c r="P114" s="1079"/>
      <c r="Q114" s="1079"/>
      <c r="R114" s="1555"/>
      <c r="S114" s="1079"/>
      <c r="T114" s="1079"/>
      <c r="U114" s="481"/>
      <c r="V114" s="1079"/>
      <c r="W114" s="1079"/>
      <c r="X114" s="1079"/>
      <c r="Y114" s="1079"/>
      <c r="Z114" s="1079"/>
      <c r="AA114" s="1551"/>
      <c r="AB114" s="503"/>
      <c r="AC114" s="503"/>
      <c r="AD114" s="503"/>
      <c r="AE114" s="503"/>
      <c r="AF114" s="1560">
        <v>11</v>
      </c>
    </row>
    <row r="115" spans="1:32" s="2269" customFormat="1" ht="11.45" customHeight="1">
      <c r="A115" s="912"/>
      <c r="B115" s="1555"/>
      <c r="C115" s="1555"/>
      <c r="D115" s="288"/>
      <c r="K115" s="1079"/>
      <c r="L115" s="1555"/>
      <c r="M115" s="1555"/>
      <c r="N115" s="1079"/>
      <c r="O115" s="1079"/>
      <c r="P115" s="1079"/>
      <c r="Q115" s="1079"/>
      <c r="R115" s="1555"/>
      <c r="S115" s="1079"/>
      <c r="T115" s="1079"/>
      <c r="U115" s="481"/>
      <c r="V115" s="1079"/>
      <c r="W115" s="1079"/>
      <c r="X115" s="1079"/>
      <c r="Y115" s="1079"/>
      <c r="Z115" s="1079"/>
      <c r="AA115" s="1551"/>
      <c r="AB115" s="503"/>
      <c r="AC115" s="503"/>
      <c r="AD115" s="503"/>
      <c r="AE115" s="503"/>
      <c r="AF115" s="1560">
        <v>11</v>
      </c>
    </row>
    <row r="116" spans="1:32" s="2269" customFormat="1" ht="11.45" customHeight="1">
      <c r="A116" s="912"/>
      <c r="B116" s="1555"/>
      <c r="C116" s="1555"/>
      <c r="D116" s="288"/>
      <c r="K116" s="1079"/>
      <c r="L116" s="1555"/>
      <c r="M116" s="1555"/>
      <c r="N116" s="1079"/>
      <c r="O116" s="1079"/>
      <c r="P116" s="1079"/>
      <c r="Q116" s="1079"/>
      <c r="R116" s="1555"/>
      <c r="S116" s="1079"/>
      <c r="T116" s="1079"/>
      <c r="U116" s="481"/>
      <c r="V116" s="1079"/>
      <c r="W116" s="1079"/>
      <c r="X116" s="1079"/>
      <c r="Y116" s="1079"/>
      <c r="Z116" s="1079"/>
      <c r="AA116" s="1551"/>
      <c r="AB116" s="503"/>
      <c r="AC116" s="503"/>
      <c r="AD116" s="503"/>
      <c r="AE116" s="503"/>
      <c r="AF116" s="1560">
        <v>11</v>
      </c>
    </row>
    <row r="117" spans="1:32" s="2269" customFormat="1" ht="11.45" customHeight="1">
      <c r="A117" s="912"/>
      <c r="B117" s="1555"/>
      <c r="C117" s="1555"/>
      <c r="D117" s="288"/>
      <c r="K117" s="1079"/>
      <c r="L117" s="1555"/>
      <c r="M117" s="1555"/>
      <c r="N117" s="1079"/>
      <c r="O117" s="1079"/>
      <c r="P117" s="1079"/>
      <c r="Q117" s="1079"/>
      <c r="R117" s="1555"/>
      <c r="S117" s="1079"/>
      <c r="T117" s="1079"/>
      <c r="U117" s="481"/>
      <c r="V117" s="1079"/>
      <c r="W117" s="1079"/>
      <c r="X117" s="1079"/>
      <c r="Y117" s="1079"/>
      <c r="Z117" s="1079"/>
      <c r="AA117" s="1551"/>
      <c r="AB117" s="503"/>
      <c r="AC117" s="503"/>
      <c r="AD117" s="503"/>
      <c r="AE117" s="503"/>
      <c r="AF117" s="1560">
        <v>11</v>
      </c>
    </row>
    <row r="118" spans="1:32" s="2269" customFormat="1" ht="11.45" customHeight="1">
      <c r="A118" s="912"/>
      <c r="B118" s="1555"/>
      <c r="C118" s="1555"/>
      <c r="D118" s="288"/>
      <c r="K118" s="1079"/>
      <c r="L118" s="1555"/>
      <c r="M118" s="1555"/>
      <c r="N118" s="1079"/>
      <c r="O118" s="1079"/>
      <c r="P118" s="1079"/>
      <c r="Q118" s="1079"/>
      <c r="R118" s="1555"/>
      <c r="S118" s="1079"/>
      <c r="T118" s="1079"/>
      <c r="U118" s="481"/>
      <c r="V118" s="1079"/>
      <c r="W118" s="1079"/>
      <c r="X118" s="1079"/>
      <c r="Y118" s="1079"/>
      <c r="Z118" s="1079"/>
      <c r="AA118" s="1551"/>
      <c r="AB118" s="503"/>
      <c r="AC118" s="503"/>
      <c r="AD118" s="503"/>
      <c r="AE118" s="503"/>
      <c r="AF118" s="1560">
        <v>11</v>
      </c>
    </row>
    <row r="119" spans="1:32" s="2269" customFormat="1" ht="11.45" customHeight="1">
      <c r="A119" s="912"/>
      <c r="B119" s="1555"/>
      <c r="C119" s="1555"/>
      <c r="D119" s="288"/>
      <c r="K119" s="1079"/>
      <c r="L119" s="1555"/>
      <c r="M119" s="1555"/>
      <c r="N119" s="1079"/>
      <c r="O119" s="1079"/>
      <c r="P119" s="1079"/>
      <c r="Q119" s="1079"/>
      <c r="R119" s="1555"/>
      <c r="S119" s="1079"/>
      <c r="T119" s="1079"/>
      <c r="U119" s="481"/>
      <c r="V119" s="1079"/>
      <c r="W119" s="1079"/>
      <c r="X119" s="1079"/>
      <c r="Y119" s="1079"/>
      <c r="Z119" s="1079"/>
      <c r="AA119" s="1551"/>
      <c r="AB119" s="503"/>
      <c r="AC119" s="503"/>
      <c r="AD119" s="503"/>
      <c r="AE119" s="503"/>
      <c r="AF119" s="1560">
        <v>11</v>
      </c>
    </row>
    <row r="120" spans="1:32" s="2269" customFormat="1" ht="11.45" customHeight="1">
      <c r="A120" s="912"/>
      <c r="B120" s="1555"/>
      <c r="C120" s="1555"/>
      <c r="D120" s="288"/>
      <c r="K120" s="1079"/>
      <c r="L120" s="1555"/>
      <c r="M120" s="1555"/>
      <c r="N120" s="1079"/>
      <c r="O120" s="1079"/>
      <c r="P120" s="1079"/>
      <c r="Q120" s="1079"/>
      <c r="R120" s="1555"/>
      <c r="S120" s="1079"/>
      <c r="T120" s="1079"/>
      <c r="U120" s="481"/>
      <c r="V120" s="1079"/>
      <c r="W120" s="1079"/>
      <c r="X120" s="1079"/>
      <c r="Y120" s="1079"/>
      <c r="Z120" s="1079"/>
      <c r="AA120" s="1551"/>
      <c r="AB120" s="503"/>
      <c r="AC120" s="503"/>
      <c r="AD120" s="503"/>
      <c r="AE120" s="503"/>
      <c r="AF120" s="1560">
        <v>11</v>
      </c>
    </row>
    <row r="121" spans="1:32" s="2269" customFormat="1" ht="11.45" customHeight="1">
      <c r="A121" s="912"/>
      <c r="B121" s="1555"/>
      <c r="C121" s="1555"/>
      <c r="D121" s="288"/>
      <c r="K121" s="1079"/>
      <c r="L121" s="1555"/>
      <c r="M121" s="1555"/>
      <c r="N121" s="1079"/>
      <c r="O121" s="1079"/>
      <c r="P121" s="1079"/>
      <c r="Q121" s="1079"/>
      <c r="R121" s="1555"/>
      <c r="S121" s="1079"/>
      <c r="T121" s="1079"/>
      <c r="U121" s="481"/>
      <c r="V121" s="1079"/>
      <c r="W121" s="1079"/>
      <c r="X121" s="1079"/>
      <c r="Y121" s="1079"/>
      <c r="Z121" s="1079"/>
      <c r="AA121" s="1551"/>
      <c r="AB121" s="503"/>
      <c r="AC121" s="503"/>
      <c r="AD121" s="503"/>
      <c r="AE121" s="503"/>
      <c r="AF121" s="1560">
        <v>11</v>
      </c>
    </row>
    <row r="122" spans="1:32" s="2269" customFormat="1" ht="11.45" customHeight="1">
      <c r="A122" s="912"/>
      <c r="B122" s="1555"/>
      <c r="C122" s="1555"/>
      <c r="D122" s="288"/>
      <c r="K122" s="1079"/>
      <c r="L122" s="1555"/>
      <c r="M122" s="1555"/>
      <c r="N122" s="1079"/>
      <c r="O122" s="1079"/>
      <c r="P122" s="1079"/>
      <c r="Q122" s="1079"/>
      <c r="R122" s="1555"/>
      <c r="S122" s="1079"/>
      <c r="T122" s="1079"/>
      <c r="U122" s="481"/>
      <c r="V122" s="1079"/>
      <c r="W122" s="1079"/>
      <c r="X122" s="1079"/>
      <c r="Y122" s="1079"/>
      <c r="Z122" s="1079"/>
      <c r="AA122" s="1551"/>
      <c r="AB122" s="503"/>
      <c r="AC122" s="503"/>
      <c r="AD122" s="503"/>
      <c r="AE122" s="503"/>
      <c r="AF122" s="1560">
        <v>11</v>
      </c>
    </row>
    <row r="123" spans="1:32" s="2269" customFormat="1" ht="11.45" customHeight="1">
      <c r="A123" s="912"/>
      <c r="B123" s="1555"/>
      <c r="C123" s="1555"/>
      <c r="D123" s="288"/>
      <c r="K123" s="1079"/>
      <c r="L123" s="1555"/>
      <c r="M123" s="1555"/>
      <c r="N123" s="1079"/>
      <c r="O123" s="1079"/>
      <c r="P123" s="1079"/>
      <c r="Q123" s="1079"/>
      <c r="R123" s="1555"/>
      <c r="S123" s="1079"/>
      <c r="T123" s="1079"/>
      <c r="U123" s="481"/>
      <c r="V123" s="1079"/>
      <c r="W123" s="1079"/>
      <c r="X123" s="1079"/>
      <c r="Y123" s="1079"/>
      <c r="Z123" s="1079"/>
      <c r="AA123" s="1551"/>
      <c r="AB123" s="503"/>
      <c r="AC123" s="503"/>
      <c r="AD123" s="503"/>
      <c r="AE123" s="503"/>
      <c r="AF123" s="1560">
        <v>11</v>
      </c>
    </row>
    <row r="124" spans="1:32" s="2269" customFormat="1" ht="11.45" customHeight="1">
      <c r="A124" s="912"/>
      <c r="B124" s="1555"/>
      <c r="C124" s="1555"/>
      <c r="D124" s="288"/>
      <c r="K124" s="1079"/>
      <c r="L124" s="1555"/>
      <c r="M124" s="1555"/>
      <c r="N124" s="1079"/>
      <c r="O124" s="1079"/>
      <c r="P124" s="1079"/>
      <c r="Q124" s="1079"/>
      <c r="R124" s="1555"/>
      <c r="S124" s="1079"/>
      <c r="T124" s="1079"/>
      <c r="U124" s="481"/>
      <c r="V124" s="1079"/>
      <c r="W124" s="1079"/>
      <c r="X124" s="1079"/>
      <c r="Y124" s="1079"/>
      <c r="Z124" s="1079"/>
      <c r="AA124" s="1551"/>
      <c r="AB124" s="503"/>
      <c r="AC124" s="503"/>
      <c r="AD124" s="503"/>
      <c r="AE124" s="503"/>
      <c r="AF124" s="1560">
        <v>11</v>
      </c>
    </row>
    <row r="125" spans="1:32" s="2269" customFormat="1" ht="11.45" customHeight="1">
      <c r="A125" s="912"/>
      <c r="B125" s="1555"/>
      <c r="C125" s="1555"/>
      <c r="D125" s="288"/>
      <c r="K125" s="1079"/>
      <c r="L125" s="1555"/>
      <c r="M125" s="1555"/>
      <c r="N125" s="1079"/>
      <c r="O125" s="1079"/>
      <c r="P125" s="1079"/>
      <c r="Q125" s="1079"/>
      <c r="R125" s="1555"/>
      <c r="S125" s="1079"/>
      <c r="T125" s="1079"/>
      <c r="U125" s="481"/>
      <c r="V125" s="1079"/>
      <c r="W125" s="1079"/>
      <c r="X125" s="1079"/>
      <c r="Y125" s="1079"/>
      <c r="Z125" s="1079"/>
      <c r="AA125" s="1551"/>
      <c r="AB125" s="503"/>
      <c r="AC125" s="503"/>
      <c r="AD125" s="503"/>
      <c r="AE125" s="503"/>
      <c r="AF125" s="1560">
        <v>11</v>
      </c>
    </row>
    <row r="126" spans="1:32" s="2269" customFormat="1" ht="11.45" customHeight="1">
      <c r="A126" s="912"/>
      <c r="B126" s="1555"/>
      <c r="C126" s="1555"/>
      <c r="D126" s="288"/>
      <c r="K126" s="1079"/>
      <c r="L126" s="1555"/>
      <c r="M126" s="1555"/>
      <c r="N126" s="1079"/>
      <c r="O126" s="1079"/>
      <c r="P126" s="1079"/>
      <c r="Q126" s="1079"/>
      <c r="R126" s="1555"/>
      <c r="S126" s="1079"/>
      <c r="T126" s="1079"/>
      <c r="U126" s="481"/>
      <c r="V126" s="1079"/>
      <c r="W126" s="1079"/>
      <c r="X126" s="1079"/>
      <c r="Y126" s="1079"/>
      <c r="Z126" s="1079"/>
      <c r="AA126" s="1551"/>
      <c r="AB126" s="503"/>
      <c r="AC126" s="503"/>
      <c r="AD126" s="503"/>
      <c r="AE126" s="503"/>
      <c r="AF126" s="1560">
        <v>11</v>
      </c>
    </row>
    <row r="127" spans="1:32" s="2269" customFormat="1" ht="11.45" customHeight="1">
      <c r="A127" s="912"/>
      <c r="B127" s="1555"/>
      <c r="C127" s="1555"/>
      <c r="D127" s="288"/>
      <c r="K127" s="1079"/>
      <c r="L127" s="1555"/>
      <c r="M127" s="1555"/>
      <c r="N127" s="1079"/>
      <c r="O127" s="1079"/>
      <c r="P127" s="1079"/>
      <c r="Q127" s="1079"/>
      <c r="R127" s="1555"/>
      <c r="S127" s="1079"/>
      <c r="T127" s="1079"/>
      <c r="U127" s="481"/>
      <c r="V127" s="1079"/>
      <c r="W127" s="1079"/>
      <c r="X127" s="1079"/>
      <c r="Y127" s="1079"/>
      <c r="Z127" s="1079"/>
      <c r="AA127" s="1551"/>
      <c r="AB127" s="503"/>
      <c r="AC127" s="503"/>
      <c r="AD127" s="503"/>
      <c r="AE127" s="503"/>
      <c r="AF127" s="1560">
        <v>11</v>
      </c>
    </row>
    <row r="128" spans="1:32" s="2269" customFormat="1" ht="11.45" customHeight="1">
      <c r="A128" s="912"/>
      <c r="B128" s="1555"/>
      <c r="C128" s="1555"/>
      <c r="D128" s="288"/>
      <c r="K128" s="1079"/>
      <c r="L128" s="1555"/>
      <c r="M128" s="1555"/>
      <c r="N128" s="1079"/>
      <c r="O128" s="1079"/>
      <c r="P128" s="1079"/>
      <c r="Q128" s="1079"/>
      <c r="R128" s="1555"/>
      <c r="S128" s="1079"/>
      <c r="T128" s="1079"/>
      <c r="U128" s="481"/>
      <c r="V128" s="1079"/>
      <c r="W128" s="1079"/>
      <c r="X128" s="1079"/>
      <c r="Y128" s="1079"/>
      <c r="Z128" s="1079"/>
      <c r="AA128" s="1551"/>
      <c r="AB128" s="503"/>
      <c r="AC128" s="503"/>
      <c r="AD128" s="503"/>
      <c r="AE128" s="503"/>
      <c r="AF128" s="1560">
        <v>11</v>
      </c>
    </row>
    <row r="129" spans="1:32" s="2269" customFormat="1" ht="11.45" customHeight="1">
      <c r="A129" s="912"/>
      <c r="B129" s="1555"/>
      <c r="C129" s="1555"/>
      <c r="D129" s="288"/>
      <c r="K129" s="1079"/>
      <c r="L129" s="1555"/>
      <c r="M129" s="1555"/>
      <c r="N129" s="1079"/>
      <c r="O129" s="1079"/>
      <c r="P129" s="1079"/>
      <c r="Q129" s="1079"/>
      <c r="R129" s="1555"/>
      <c r="S129" s="1079"/>
      <c r="T129" s="1079"/>
      <c r="U129" s="481"/>
      <c r="V129" s="1079"/>
      <c r="W129" s="1079"/>
      <c r="X129" s="1079"/>
      <c r="Y129" s="1079"/>
      <c r="Z129" s="1079"/>
      <c r="AA129" s="1551"/>
      <c r="AB129" s="503"/>
      <c r="AC129" s="503"/>
      <c r="AD129" s="503"/>
      <c r="AE129" s="503"/>
      <c r="AF129" s="1560">
        <v>11</v>
      </c>
    </row>
    <row r="130" spans="1:32" s="2269" customFormat="1" ht="11.45" customHeight="1">
      <c r="A130" s="912"/>
      <c r="B130" s="1555"/>
      <c r="C130" s="1555"/>
      <c r="D130" s="288"/>
      <c r="K130" s="1079"/>
      <c r="L130" s="1555"/>
      <c r="M130" s="1555"/>
      <c r="N130" s="1079"/>
      <c r="O130" s="1079"/>
      <c r="P130" s="1079"/>
      <c r="Q130" s="1079"/>
      <c r="R130" s="1555"/>
      <c r="S130" s="1079"/>
      <c r="T130" s="1079"/>
      <c r="U130" s="481"/>
      <c r="V130" s="1079"/>
      <c r="W130" s="1079"/>
      <c r="X130" s="1079"/>
      <c r="Y130" s="1079"/>
      <c r="Z130" s="1079"/>
      <c r="AA130" s="1551"/>
      <c r="AB130" s="503"/>
      <c r="AC130" s="503"/>
      <c r="AD130" s="503"/>
      <c r="AE130" s="503"/>
      <c r="AF130" s="1560">
        <v>11</v>
      </c>
    </row>
    <row r="131" spans="1:32" s="2269" customFormat="1" ht="11.45" customHeight="1">
      <c r="A131" s="912"/>
      <c r="B131" s="1555"/>
      <c r="C131" s="1555"/>
      <c r="D131" s="288"/>
      <c r="K131" s="1079"/>
      <c r="L131" s="1555"/>
      <c r="M131" s="1555"/>
      <c r="N131" s="1079"/>
      <c r="O131" s="1079"/>
      <c r="P131" s="1079"/>
      <c r="Q131" s="1079"/>
      <c r="R131" s="1555"/>
      <c r="S131" s="1079"/>
      <c r="T131" s="1079"/>
      <c r="U131" s="481"/>
      <c r="V131" s="1079"/>
      <c r="W131" s="1079"/>
      <c r="X131" s="1079"/>
      <c r="Y131" s="1079"/>
      <c r="Z131" s="1079"/>
      <c r="AA131" s="1551"/>
      <c r="AB131" s="503"/>
      <c r="AC131" s="503"/>
      <c r="AD131" s="503"/>
      <c r="AE131" s="503"/>
      <c r="AF131" s="1560">
        <v>11</v>
      </c>
    </row>
    <row r="132" spans="1:32" s="2269" customFormat="1" ht="11.45" customHeight="1">
      <c r="A132" s="912"/>
      <c r="B132" s="1555"/>
      <c r="C132" s="1555"/>
      <c r="D132" s="288"/>
      <c r="K132" s="1079"/>
      <c r="L132" s="1555"/>
      <c r="M132" s="1555"/>
      <c r="N132" s="1079"/>
      <c r="O132" s="1079"/>
      <c r="P132" s="1079"/>
      <c r="Q132" s="1079"/>
      <c r="R132" s="1555"/>
      <c r="S132" s="1079"/>
      <c r="T132" s="1079"/>
      <c r="U132" s="481"/>
      <c r="V132" s="1079"/>
      <c r="W132" s="1079"/>
      <c r="X132" s="1079"/>
      <c r="Y132" s="1079"/>
      <c r="Z132" s="1079"/>
      <c r="AA132" s="1551"/>
      <c r="AB132" s="503"/>
      <c r="AC132" s="503"/>
      <c r="AD132" s="503"/>
      <c r="AE132" s="503"/>
      <c r="AF132" s="1560">
        <v>11</v>
      </c>
    </row>
    <row r="133" spans="1:32" s="2269" customFormat="1" ht="11.45" customHeight="1">
      <c r="A133" s="912"/>
      <c r="B133" s="1555"/>
      <c r="C133" s="1555"/>
      <c r="D133" s="288"/>
      <c r="K133" s="1079"/>
      <c r="L133" s="1555"/>
      <c r="M133" s="1555"/>
      <c r="N133" s="1079"/>
      <c r="O133" s="1079"/>
      <c r="P133" s="1079"/>
      <c r="Q133" s="1079"/>
      <c r="R133" s="1555"/>
      <c r="S133" s="1079"/>
      <c r="T133" s="1079"/>
      <c r="U133" s="481"/>
      <c r="V133" s="1079"/>
      <c r="W133" s="1079"/>
      <c r="X133" s="1079"/>
      <c r="Y133" s="1079"/>
      <c r="Z133" s="1079"/>
      <c r="AA133" s="1551"/>
      <c r="AB133" s="503"/>
      <c r="AC133" s="503"/>
      <c r="AD133" s="503"/>
      <c r="AE133" s="503"/>
      <c r="AF133" s="1560">
        <v>11</v>
      </c>
    </row>
    <row r="134" spans="1:32" s="2269" customFormat="1" ht="11.45" customHeight="1">
      <c r="A134" s="912"/>
      <c r="B134" s="1555"/>
      <c r="C134" s="1555"/>
      <c r="D134" s="288"/>
      <c r="K134" s="1079"/>
      <c r="L134" s="1555"/>
      <c r="M134" s="1555"/>
      <c r="N134" s="1079"/>
      <c r="O134" s="1079"/>
      <c r="P134" s="1079"/>
      <c r="Q134" s="1079"/>
      <c r="R134" s="1555"/>
      <c r="S134" s="1079"/>
      <c r="T134" s="1079"/>
      <c r="U134" s="481"/>
      <c r="V134" s="1079"/>
      <c r="W134" s="1079"/>
      <c r="X134" s="1079"/>
      <c r="Y134" s="1079"/>
      <c r="Z134" s="1079"/>
      <c r="AA134" s="1551"/>
      <c r="AB134" s="503"/>
      <c r="AC134" s="503"/>
      <c r="AD134" s="503"/>
      <c r="AE134" s="503"/>
      <c r="AF134" s="1560">
        <v>11</v>
      </c>
    </row>
    <row r="135" spans="1:32" s="2269" customFormat="1" ht="11.45" customHeight="1">
      <c r="A135" s="912"/>
      <c r="B135" s="1555"/>
      <c r="C135" s="1555"/>
      <c r="D135" s="288"/>
      <c r="K135" s="1079"/>
      <c r="L135" s="1555"/>
      <c r="M135" s="1555"/>
      <c r="N135" s="1079"/>
      <c r="O135" s="1079"/>
      <c r="P135" s="1079"/>
      <c r="Q135" s="1079"/>
      <c r="R135" s="1555"/>
      <c r="S135" s="1079"/>
      <c r="T135" s="1079"/>
      <c r="U135" s="481"/>
      <c r="V135" s="1079"/>
      <c r="W135" s="1079"/>
      <c r="X135" s="1079"/>
      <c r="Y135" s="1079"/>
      <c r="Z135" s="1079"/>
      <c r="AA135" s="1551"/>
      <c r="AB135" s="503"/>
      <c r="AC135" s="503"/>
      <c r="AD135" s="503"/>
      <c r="AE135" s="503"/>
      <c r="AF135" s="1560">
        <v>11</v>
      </c>
    </row>
    <row r="136" spans="1:32" s="2269" customFormat="1" ht="11.45" customHeight="1">
      <c r="A136" s="912"/>
      <c r="B136" s="1555"/>
      <c r="C136" s="1555"/>
      <c r="D136" s="288"/>
      <c r="K136" s="1079"/>
      <c r="L136" s="1555"/>
      <c r="M136" s="1555"/>
      <c r="N136" s="1079"/>
      <c r="O136" s="1079"/>
      <c r="P136" s="1079"/>
      <c r="Q136" s="1079"/>
      <c r="R136" s="1555"/>
      <c r="S136" s="1079"/>
      <c r="T136" s="1079"/>
      <c r="U136" s="481"/>
      <c r="V136" s="1079"/>
      <c r="W136" s="1079"/>
      <c r="X136" s="1079"/>
      <c r="Y136" s="1079"/>
      <c r="Z136" s="1079"/>
      <c r="AA136" s="1551"/>
      <c r="AB136" s="503"/>
      <c r="AC136" s="503"/>
      <c r="AD136" s="503"/>
      <c r="AE136" s="503"/>
      <c r="AF136" s="1560">
        <v>11</v>
      </c>
    </row>
    <row r="137" spans="1:32" s="2269" customFormat="1" ht="11.45" customHeight="1">
      <c r="A137" s="912"/>
      <c r="B137" s="1555"/>
      <c r="C137" s="1555"/>
      <c r="D137" s="288"/>
      <c r="K137" s="1079"/>
      <c r="L137" s="1555"/>
      <c r="M137" s="1555"/>
      <c r="N137" s="1079"/>
      <c r="O137" s="1079"/>
      <c r="P137" s="1079"/>
      <c r="Q137" s="1079"/>
      <c r="R137" s="1555"/>
      <c r="S137" s="1079"/>
      <c r="T137" s="1079"/>
      <c r="U137" s="481"/>
      <c r="V137" s="1079"/>
      <c r="W137" s="1079"/>
      <c r="X137" s="1079"/>
      <c r="Y137" s="1079"/>
      <c r="Z137" s="1079"/>
      <c r="AA137" s="1551"/>
      <c r="AB137" s="503"/>
      <c r="AC137" s="503"/>
      <c r="AD137" s="503"/>
      <c r="AE137" s="503"/>
      <c r="AF137" s="1560">
        <v>11</v>
      </c>
    </row>
    <row r="138" spans="1:32" s="2269" customFormat="1" ht="11.45" customHeight="1">
      <c r="A138" s="912"/>
      <c r="B138" s="1555"/>
      <c r="C138" s="1555"/>
      <c r="D138" s="288"/>
      <c r="K138" s="1079"/>
      <c r="L138" s="1555"/>
      <c r="M138" s="1555"/>
      <c r="N138" s="1079"/>
      <c r="O138" s="1079"/>
      <c r="P138" s="1079"/>
      <c r="Q138" s="1079"/>
      <c r="R138" s="1555"/>
      <c r="S138" s="1079"/>
      <c r="T138" s="1079"/>
      <c r="U138" s="481"/>
      <c r="V138" s="1079"/>
      <c r="W138" s="1079"/>
      <c r="X138" s="1079"/>
      <c r="Y138" s="1079"/>
      <c r="Z138" s="1079"/>
      <c r="AA138" s="1551"/>
      <c r="AB138" s="503"/>
      <c r="AC138" s="503"/>
      <c r="AD138" s="503"/>
      <c r="AE138" s="503"/>
      <c r="AF138" s="1560">
        <v>11</v>
      </c>
    </row>
    <row r="139" spans="1:32" s="2269" customFormat="1" ht="11.45" customHeight="1">
      <c r="A139" s="912"/>
      <c r="B139" s="1555"/>
      <c r="C139" s="1555"/>
      <c r="D139" s="288"/>
      <c r="K139" s="1079"/>
      <c r="L139" s="1555"/>
      <c r="M139" s="1555"/>
      <c r="N139" s="1079"/>
      <c r="O139" s="1079"/>
      <c r="P139" s="1079"/>
      <c r="Q139" s="1079"/>
      <c r="R139" s="1555"/>
      <c r="S139" s="1079"/>
      <c r="T139" s="1079"/>
      <c r="U139" s="481"/>
      <c r="V139" s="1079"/>
      <c r="W139" s="1079"/>
      <c r="X139" s="1079"/>
      <c r="Y139" s="1079"/>
      <c r="Z139" s="1079"/>
      <c r="AA139" s="1551"/>
      <c r="AB139" s="503"/>
      <c r="AC139" s="503"/>
      <c r="AD139" s="503"/>
      <c r="AE139" s="503"/>
      <c r="AF139" s="1560">
        <v>11</v>
      </c>
    </row>
    <row r="140" spans="1:32" s="2269" customFormat="1" ht="11.45" customHeight="1">
      <c r="A140" s="912"/>
      <c r="B140" s="1555"/>
      <c r="C140" s="1555"/>
      <c r="D140" s="288"/>
      <c r="K140" s="1079"/>
      <c r="L140" s="1555"/>
      <c r="M140" s="1555"/>
      <c r="N140" s="1079"/>
      <c r="O140" s="1079"/>
      <c r="P140" s="1079"/>
      <c r="Q140" s="1079"/>
      <c r="R140" s="1555"/>
      <c r="S140" s="1079"/>
      <c r="T140" s="1079"/>
      <c r="U140" s="481"/>
      <c r="V140" s="1079"/>
      <c r="W140" s="1079"/>
      <c r="X140" s="1079"/>
      <c r="Y140" s="1079"/>
      <c r="Z140" s="1079"/>
      <c r="AA140" s="1551"/>
      <c r="AB140" s="503"/>
      <c r="AC140" s="503"/>
      <c r="AD140" s="503"/>
      <c r="AE140" s="503"/>
      <c r="AF140" s="1560">
        <v>11</v>
      </c>
    </row>
    <row r="141" spans="1:32" s="2269" customFormat="1" ht="11.45" customHeight="1">
      <c r="A141" s="912"/>
      <c r="B141" s="1555"/>
      <c r="C141" s="1555"/>
      <c r="D141" s="288"/>
      <c r="K141" s="1079"/>
      <c r="L141" s="1555"/>
      <c r="M141" s="1555"/>
      <c r="N141" s="1079"/>
      <c r="O141" s="1079"/>
      <c r="P141" s="1079"/>
      <c r="Q141" s="1079"/>
      <c r="R141" s="1555"/>
      <c r="S141" s="1079"/>
      <c r="T141" s="1079"/>
      <c r="U141" s="481"/>
      <c r="V141" s="1079"/>
      <c r="W141" s="1079"/>
      <c r="X141" s="1079"/>
      <c r="Y141" s="1079"/>
      <c r="Z141" s="1079"/>
      <c r="AA141" s="1551"/>
      <c r="AB141" s="503"/>
      <c r="AC141" s="503"/>
      <c r="AD141" s="503"/>
      <c r="AE141" s="503"/>
      <c r="AF141" s="1560">
        <v>11</v>
      </c>
    </row>
    <row r="142" spans="1:32" s="2269" customFormat="1" ht="11.45" customHeight="1">
      <c r="A142" s="912"/>
      <c r="B142" s="1555"/>
      <c r="C142" s="1555"/>
      <c r="D142" s="288"/>
      <c r="K142" s="1079"/>
      <c r="L142" s="1555"/>
      <c r="M142" s="1555"/>
      <c r="N142" s="1079"/>
      <c r="O142" s="1079"/>
      <c r="P142" s="1079"/>
      <c r="Q142" s="1079"/>
      <c r="R142" s="1555"/>
      <c r="S142" s="1079"/>
      <c r="T142" s="1079"/>
      <c r="U142" s="481"/>
      <c r="V142" s="1079"/>
      <c r="W142" s="1079"/>
      <c r="X142" s="1079"/>
      <c r="Y142" s="1079"/>
      <c r="Z142" s="1079"/>
      <c r="AA142" s="1551"/>
      <c r="AB142" s="503"/>
      <c r="AC142" s="503"/>
      <c r="AD142" s="503"/>
      <c r="AE142" s="503"/>
      <c r="AF142" s="1560">
        <v>11</v>
      </c>
    </row>
    <row r="143" spans="1:32" s="2269" customFormat="1" ht="11.45" customHeight="1">
      <c r="A143" s="912"/>
      <c r="B143" s="1555"/>
      <c r="C143" s="1555"/>
      <c r="D143" s="288"/>
      <c r="K143" s="1079"/>
      <c r="L143" s="1555"/>
      <c r="M143" s="1555"/>
      <c r="N143" s="1079"/>
      <c r="O143" s="1079"/>
      <c r="P143" s="1079"/>
      <c r="Q143" s="1079"/>
      <c r="R143" s="1555"/>
      <c r="S143" s="1079"/>
      <c r="T143" s="1079"/>
      <c r="U143" s="481"/>
      <c r="V143" s="1079"/>
      <c r="W143" s="1079"/>
      <c r="X143" s="1079"/>
      <c r="Y143" s="1079"/>
      <c r="Z143" s="1079"/>
      <c r="AA143" s="1551"/>
      <c r="AB143" s="503"/>
      <c r="AC143" s="503"/>
      <c r="AD143" s="503"/>
      <c r="AE143" s="503"/>
      <c r="AF143" s="1560">
        <v>11</v>
      </c>
    </row>
    <row r="144" spans="1:32" s="2269" customFormat="1" ht="11.45" customHeight="1">
      <c r="A144" s="912"/>
      <c r="B144" s="1555"/>
      <c r="C144" s="1555"/>
      <c r="D144" s="288"/>
      <c r="K144" s="1079"/>
      <c r="L144" s="1555"/>
      <c r="M144" s="1555"/>
      <c r="N144" s="1079"/>
      <c r="O144" s="1079"/>
      <c r="P144" s="1079"/>
      <c r="Q144" s="1079"/>
      <c r="R144" s="1555"/>
      <c r="S144" s="1079"/>
      <c r="T144" s="1079"/>
      <c r="U144" s="481"/>
      <c r="V144" s="1079"/>
      <c r="W144" s="1079"/>
      <c r="X144" s="1079"/>
      <c r="Y144" s="1079"/>
      <c r="Z144" s="1079"/>
      <c r="AA144" s="1551"/>
      <c r="AB144" s="503"/>
      <c r="AC144" s="503"/>
      <c r="AD144" s="503"/>
      <c r="AE144" s="503"/>
      <c r="AF144" s="1560">
        <v>11</v>
      </c>
    </row>
    <row r="145" spans="1:32" s="2269" customFormat="1" ht="11.45" customHeight="1">
      <c r="A145" s="912"/>
      <c r="B145" s="1555"/>
      <c r="C145" s="1555"/>
      <c r="D145" s="288"/>
      <c r="K145" s="1079"/>
      <c r="L145" s="1555"/>
      <c r="M145" s="1555"/>
      <c r="N145" s="1079"/>
      <c r="O145" s="1079"/>
      <c r="P145" s="1079"/>
      <c r="Q145" s="1079"/>
      <c r="R145" s="1555"/>
      <c r="S145" s="1079"/>
      <c r="T145" s="1079"/>
      <c r="U145" s="481"/>
      <c r="V145" s="1079"/>
      <c r="W145" s="1079"/>
      <c r="X145" s="1079"/>
      <c r="Y145" s="1079"/>
      <c r="Z145" s="1079"/>
      <c r="AA145" s="1551"/>
      <c r="AB145" s="503"/>
      <c r="AC145" s="503"/>
      <c r="AD145" s="503"/>
      <c r="AE145" s="503"/>
      <c r="AF145" s="1560">
        <v>11</v>
      </c>
    </row>
    <row r="146" spans="1:32" s="2269" customFormat="1" ht="11.45" customHeight="1">
      <c r="A146" s="912"/>
      <c r="B146" s="1555"/>
      <c r="C146" s="1555"/>
      <c r="D146" s="288"/>
      <c r="K146" s="1079"/>
      <c r="L146" s="1555"/>
      <c r="M146" s="1555"/>
      <c r="N146" s="1079"/>
      <c r="O146" s="1079"/>
      <c r="P146" s="1079"/>
      <c r="Q146" s="1079"/>
      <c r="R146" s="1555"/>
      <c r="S146" s="1079"/>
      <c r="T146" s="1079"/>
      <c r="U146" s="481"/>
      <c r="V146" s="1079"/>
      <c r="W146" s="1079"/>
      <c r="X146" s="1079"/>
      <c r="Y146" s="1079"/>
      <c r="Z146" s="1079"/>
      <c r="AA146" s="1551"/>
      <c r="AB146" s="503"/>
      <c r="AC146" s="503"/>
      <c r="AD146" s="503"/>
      <c r="AE146" s="503"/>
      <c r="AF146" s="1560">
        <v>11</v>
      </c>
    </row>
    <row r="147" spans="1:32" s="2269" customFormat="1" ht="11.45" customHeight="1">
      <c r="A147" s="912"/>
      <c r="B147" s="1555"/>
      <c r="C147" s="1555"/>
      <c r="D147" s="288"/>
      <c r="K147" s="1079"/>
      <c r="L147" s="1555"/>
      <c r="M147" s="1555"/>
      <c r="N147" s="1079"/>
      <c r="O147" s="1079"/>
      <c r="P147" s="1079"/>
      <c r="Q147" s="1079"/>
      <c r="R147" s="1555"/>
      <c r="S147" s="1079"/>
      <c r="T147" s="1079"/>
      <c r="U147" s="481"/>
      <c r="V147" s="1079"/>
      <c r="W147" s="1079"/>
      <c r="X147" s="1079"/>
      <c r="Y147" s="1079"/>
      <c r="Z147" s="1079"/>
      <c r="AA147" s="1551"/>
      <c r="AB147" s="503"/>
      <c r="AC147" s="503"/>
      <c r="AD147" s="503"/>
      <c r="AE147" s="503"/>
      <c r="AF147" s="1560">
        <v>11</v>
      </c>
    </row>
    <row r="148" spans="1:32" s="2269" customFormat="1" ht="11.45" customHeight="1">
      <c r="A148" s="912"/>
      <c r="B148" s="1555"/>
      <c r="C148" s="1555"/>
      <c r="D148" s="288"/>
      <c r="K148" s="1079"/>
      <c r="L148" s="1555"/>
      <c r="M148" s="1555"/>
      <c r="N148" s="1079"/>
      <c r="O148" s="1079"/>
      <c r="P148" s="1079"/>
      <c r="Q148" s="1079"/>
      <c r="R148" s="1555"/>
      <c r="S148" s="1079"/>
      <c r="T148" s="1079"/>
      <c r="U148" s="481"/>
      <c r="V148" s="1079"/>
      <c r="W148" s="1079"/>
      <c r="X148" s="1079"/>
      <c r="Y148" s="1079"/>
      <c r="Z148" s="1079"/>
      <c r="AA148" s="1551"/>
      <c r="AB148" s="503"/>
      <c r="AC148" s="503"/>
      <c r="AD148" s="503"/>
      <c r="AE148" s="503"/>
      <c r="AF148" s="1560">
        <v>11</v>
      </c>
    </row>
    <row r="149" spans="1:32" s="2269" customFormat="1" ht="11.45" customHeight="1">
      <c r="A149" s="912"/>
      <c r="B149" s="1555"/>
      <c r="C149" s="1555"/>
      <c r="D149" s="288"/>
      <c r="K149" s="1079"/>
      <c r="L149" s="1555"/>
      <c r="M149" s="1555"/>
      <c r="N149" s="1079"/>
      <c r="O149" s="1079"/>
      <c r="P149" s="1079"/>
      <c r="Q149" s="1079"/>
      <c r="R149" s="1555"/>
      <c r="S149" s="1079"/>
      <c r="T149" s="1079"/>
      <c r="U149" s="481"/>
      <c r="V149" s="1079"/>
      <c r="W149" s="1079"/>
      <c r="X149" s="1079"/>
      <c r="Y149" s="1079"/>
      <c r="Z149" s="1079"/>
      <c r="AA149" s="1551"/>
      <c r="AB149" s="503"/>
      <c r="AC149" s="503"/>
      <c r="AD149" s="503"/>
      <c r="AE149" s="503"/>
      <c r="AF149" s="1560">
        <v>11</v>
      </c>
    </row>
    <row r="150" spans="1:32" s="2269" customFormat="1" ht="11.45" customHeight="1">
      <c r="A150" s="912"/>
      <c r="B150" s="1555"/>
      <c r="C150" s="1555"/>
      <c r="D150" s="288"/>
      <c r="K150" s="1079"/>
      <c r="L150" s="1555"/>
      <c r="M150" s="1555"/>
      <c r="N150" s="1079"/>
      <c r="O150" s="1079"/>
      <c r="P150" s="1079"/>
      <c r="Q150" s="1079"/>
      <c r="R150" s="1555"/>
      <c r="S150" s="1079"/>
      <c r="T150" s="1079"/>
      <c r="U150" s="481"/>
      <c r="V150" s="1079"/>
      <c r="W150" s="1079"/>
      <c r="X150" s="1079"/>
      <c r="Y150" s="1079"/>
      <c r="Z150" s="1079"/>
      <c r="AA150" s="1551"/>
      <c r="AB150" s="503"/>
      <c r="AC150" s="503"/>
      <c r="AD150" s="503"/>
      <c r="AE150" s="503"/>
      <c r="AF150" s="1560">
        <v>11</v>
      </c>
    </row>
    <row r="151" spans="1:32" s="2269" customFormat="1" ht="11.45" customHeight="1">
      <c r="A151" s="912"/>
      <c r="B151" s="1555"/>
      <c r="C151" s="1555"/>
      <c r="D151" s="288"/>
      <c r="K151" s="1079"/>
      <c r="L151" s="1555"/>
      <c r="M151" s="1555"/>
      <c r="N151" s="1079"/>
      <c r="O151" s="1079"/>
      <c r="P151" s="1079"/>
      <c r="Q151" s="1079"/>
      <c r="R151" s="1555"/>
      <c r="S151" s="1079"/>
      <c r="T151" s="1079"/>
      <c r="U151" s="481"/>
      <c r="V151" s="1079"/>
      <c r="W151" s="1079"/>
      <c r="X151" s="1079"/>
      <c r="Y151" s="1079"/>
      <c r="Z151" s="1079"/>
      <c r="AA151" s="1551"/>
      <c r="AB151" s="503"/>
      <c r="AC151" s="503"/>
      <c r="AD151" s="503"/>
      <c r="AE151" s="503"/>
      <c r="AF151" s="1560">
        <v>11</v>
      </c>
    </row>
    <row r="152" spans="1:32" s="2269" customFormat="1" ht="11.45" customHeight="1">
      <c r="A152" s="912"/>
      <c r="B152" s="1555"/>
      <c r="C152" s="1555"/>
      <c r="D152" s="288"/>
      <c r="K152" s="1079"/>
      <c r="L152" s="1555"/>
      <c r="M152" s="1555"/>
      <c r="N152" s="1079"/>
      <c r="O152" s="1079"/>
      <c r="P152" s="1079"/>
      <c r="Q152" s="1079"/>
      <c r="R152" s="1555"/>
      <c r="S152" s="1079"/>
      <c r="T152" s="1079"/>
      <c r="U152" s="481"/>
      <c r="V152" s="1079"/>
      <c r="W152" s="1079"/>
      <c r="X152" s="1079"/>
      <c r="Y152" s="1079"/>
      <c r="Z152" s="1079"/>
      <c r="AA152" s="1551"/>
      <c r="AB152" s="503"/>
      <c r="AC152" s="503"/>
      <c r="AD152" s="503"/>
      <c r="AE152" s="503"/>
      <c r="AF152" s="1560">
        <v>11</v>
      </c>
    </row>
    <row r="153" spans="1:32" s="2269" customFormat="1" ht="11.45" customHeight="1">
      <c r="A153" s="912"/>
      <c r="B153" s="1555"/>
      <c r="C153" s="1555"/>
      <c r="D153" s="288"/>
      <c r="K153" s="1079"/>
      <c r="L153" s="1555"/>
      <c r="M153" s="1555"/>
      <c r="N153" s="1079"/>
      <c r="O153" s="1079"/>
      <c r="P153" s="1079"/>
      <c r="Q153" s="1079"/>
      <c r="R153" s="1555"/>
      <c r="S153" s="1079"/>
      <c r="T153" s="1079"/>
      <c r="U153" s="481"/>
      <c r="V153" s="1079"/>
      <c r="W153" s="1079"/>
      <c r="X153" s="1079"/>
      <c r="Y153" s="1079"/>
      <c r="Z153" s="1079"/>
      <c r="AA153" s="1551"/>
      <c r="AB153" s="503"/>
      <c r="AC153" s="503"/>
      <c r="AD153" s="503"/>
      <c r="AE153" s="503"/>
      <c r="AF153" s="1560">
        <v>11</v>
      </c>
    </row>
    <row r="154" spans="1:32" s="2269" customFormat="1" ht="11.45" customHeight="1">
      <c r="A154" s="912"/>
      <c r="B154" s="1555"/>
      <c r="C154" s="1555"/>
      <c r="D154" s="288"/>
      <c r="K154" s="1079"/>
      <c r="L154" s="1555"/>
      <c r="M154" s="1555"/>
      <c r="N154" s="1079"/>
      <c r="O154" s="1079"/>
      <c r="P154" s="1079"/>
      <c r="Q154" s="1079"/>
      <c r="R154" s="1555"/>
      <c r="S154" s="1079"/>
      <c r="T154" s="1079"/>
      <c r="U154" s="481"/>
      <c r="V154" s="1079"/>
      <c r="W154" s="1079"/>
      <c r="X154" s="1079"/>
      <c r="Y154" s="1079"/>
      <c r="Z154" s="1079"/>
      <c r="AA154" s="1551"/>
      <c r="AB154" s="503"/>
      <c r="AC154" s="503"/>
      <c r="AD154" s="503"/>
      <c r="AE154" s="503"/>
      <c r="AF154" s="1560">
        <v>11</v>
      </c>
    </row>
    <row r="155" spans="1:32" s="2269" customFormat="1" ht="11.45" customHeight="1">
      <c r="A155" s="912"/>
      <c r="B155" s="1555"/>
      <c r="C155" s="1555"/>
      <c r="D155" s="288"/>
      <c r="K155" s="1079"/>
      <c r="L155" s="1555"/>
      <c r="M155" s="1555"/>
      <c r="N155" s="1079"/>
      <c r="O155" s="1079"/>
      <c r="P155" s="1079"/>
      <c r="Q155" s="1079"/>
      <c r="R155" s="1555"/>
      <c r="S155" s="1079"/>
      <c r="T155" s="1079"/>
      <c r="U155" s="481"/>
      <c r="V155" s="1079"/>
      <c r="W155" s="1079"/>
      <c r="X155" s="1079"/>
      <c r="Y155" s="1079"/>
      <c r="Z155" s="1079"/>
      <c r="AA155" s="1551"/>
      <c r="AB155" s="503"/>
      <c r="AC155" s="503"/>
      <c r="AD155" s="503"/>
      <c r="AE155" s="503"/>
      <c r="AF155" s="1560">
        <v>11</v>
      </c>
    </row>
    <row r="156" spans="1:32" s="2269" customFormat="1" ht="11.45" customHeight="1">
      <c r="A156" s="912"/>
      <c r="B156" s="1555"/>
      <c r="C156" s="1555"/>
      <c r="D156" s="288"/>
      <c r="K156" s="1079"/>
      <c r="L156" s="1555"/>
      <c r="M156" s="1555"/>
      <c r="N156" s="1079"/>
      <c r="O156" s="1079"/>
      <c r="P156" s="1079"/>
      <c r="Q156" s="1079"/>
      <c r="R156" s="1555"/>
      <c r="S156" s="1079"/>
      <c r="T156" s="1079"/>
      <c r="U156" s="481"/>
      <c r="V156" s="1079"/>
      <c r="W156" s="1079"/>
      <c r="X156" s="1079"/>
      <c r="Y156" s="1079"/>
      <c r="Z156" s="1079"/>
      <c r="AA156" s="1551"/>
      <c r="AB156" s="503"/>
      <c r="AC156" s="503"/>
      <c r="AD156" s="503"/>
      <c r="AE156" s="503"/>
      <c r="AF156" s="1560">
        <v>11</v>
      </c>
    </row>
    <row r="157" spans="1:32" s="2269" customFormat="1" ht="11.45" customHeight="1">
      <c r="A157" s="912"/>
      <c r="B157" s="1555"/>
      <c r="C157" s="1555"/>
      <c r="D157" s="288"/>
      <c r="K157" s="1079"/>
      <c r="L157" s="1555"/>
      <c r="M157" s="1555"/>
      <c r="N157" s="1079"/>
      <c r="O157" s="1079"/>
      <c r="P157" s="1079"/>
      <c r="Q157" s="1079"/>
      <c r="R157" s="1555"/>
      <c r="S157" s="1079"/>
      <c r="T157" s="1079"/>
      <c r="U157" s="481"/>
      <c r="V157" s="1079"/>
      <c r="W157" s="1079"/>
      <c r="X157" s="1079"/>
      <c r="Y157" s="1079"/>
      <c r="Z157" s="1079"/>
      <c r="AA157" s="1551"/>
      <c r="AB157" s="503"/>
      <c r="AC157" s="503"/>
      <c r="AD157" s="503"/>
      <c r="AE157" s="503"/>
      <c r="AF157" s="1560">
        <v>11</v>
      </c>
    </row>
    <row r="158" spans="1:32" s="2269" customFormat="1" ht="11.45" customHeight="1">
      <c r="A158" s="912"/>
      <c r="B158" s="1555"/>
      <c r="C158" s="1555"/>
      <c r="D158" s="288"/>
      <c r="K158" s="1079"/>
      <c r="L158" s="1555"/>
      <c r="M158" s="1555"/>
      <c r="N158" s="1079"/>
      <c r="O158" s="1079"/>
      <c r="P158" s="1079"/>
      <c r="Q158" s="1079"/>
      <c r="R158" s="1555"/>
      <c r="S158" s="1079"/>
      <c r="T158" s="1079"/>
      <c r="U158" s="481"/>
      <c r="V158" s="1079"/>
      <c r="W158" s="1079"/>
      <c r="X158" s="1079"/>
      <c r="Y158" s="1079"/>
      <c r="Z158" s="1079"/>
      <c r="AA158" s="1551"/>
      <c r="AB158" s="503"/>
      <c r="AC158" s="503"/>
      <c r="AD158" s="503"/>
      <c r="AE158" s="503"/>
      <c r="AF158" s="1560">
        <v>11</v>
      </c>
    </row>
    <row r="159" spans="1:32" s="2269" customFormat="1" ht="11.45" customHeight="1">
      <c r="A159" s="912"/>
      <c r="B159" s="1555"/>
      <c r="C159" s="1555"/>
      <c r="D159" s="288"/>
      <c r="K159" s="1079"/>
      <c r="L159" s="1555"/>
      <c r="M159" s="1555"/>
      <c r="N159" s="1079"/>
      <c r="O159" s="1079"/>
      <c r="P159" s="1079"/>
      <c r="Q159" s="1079"/>
      <c r="R159" s="1555"/>
      <c r="S159" s="1079"/>
      <c r="T159" s="1079"/>
      <c r="U159" s="481"/>
      <c r="V159" s="1079"/>
      <c r="W159" s="1079"/>
      <c r="X159" s="1079"/>
      <c r="Y159" s="1079"/>
      <c r="Z159" s="1079"/>
      <c r="AA159" s="1551"/>
      <c r="AB159" s="503"/>
      <c r="AC159" s="503"/>
      <c r="AD159" s="503"/>
      <c r="AE159" s="503"/>
      <c r="AF159" s="1560">
        <v>11</v>
      </c>
    </row>
    <row r="160" spans="1:32" s="2269" customFormat="1" ht="11.45" customHeight="1">
      <c r="A160" s="912"/>
      <c r="B160" s="1555"/>
      <c r="C160" s="1555"/>
      <c r="D160" s="288"/>
      <c r="K160" s="1079"/>
      <c r="L160" s="1555"/>
      <c r="M160" s="1555"/>
      <c r="N160" s="1079"/>
      <c r="O160" s="1079"/>
      <c r="P160" s="1079"/>
      <c r="Q160" s="1079"/>
      <c r="R160" s="1555"/>
      <c r="S160" s="1079"/>
      <c r="T160" s="1079"/>
      <c r="U160" s="481"/>
      <c r="V160" s="1079"/>
      <c r="W160" s="1079"/>
      <c r="X160" s="1079"/>
      <c r="Y160" s="1079"/>
      <c r="Z160" s="1079"/>
      <c r="AA160" s="1551"/>
      <c r="AB160" s="503"/>
      <c r="AC160" s="503"/>
      <c r="AD160" s="503"/>
      <c r="AE160" s="503"/>
      <c r="AF160" s="1560">
        <v>11</v>
      </c>
    </row>
    <row r="161" spans="1:32" s="2269" customFormat="1" ht="11.45" customHeight="1">
      <c r="A161" s="912"/>
      <c r="B161" s="1555"/>
      <c r="C161" s="1555"/>
      <c r="D161" s="288"/>
      <c r="K161" s="1079"/>
      <c r="L161" s="1555"/>
      <c r="M161" s="1555"/>
      <c r="N161" s="1079"/>
      <c r="O161" s="1079"/>
      <c r="P161" s="1079"/>
      <c r="Q161" s="1079"/>
      <c r="R161" s="1555"/>
      <c r="S161" s="1079"/>
      <c r="T161" s="1079"/>
      <c r="U161" s="481"/>
      <c r="V161" s="1079"/>
      <c r="W161" s="1079"/>
      <c r="X161" s="1079"/>
      <c r="Y161" s="1079"/>
      <c r="Z161" s="1079"/>
      <c r="AA161" s="1551"/>
      <c r="AB161" s="503"/>
      <c r="AC161" s="503"/>
      <c r="AD161" s="503"/>
      <c r="AE161" s="503"/>
      <c r="AF161" s="1560">
        <v>11</v>
      </c>
    </row>
    <row r="162" spans="1:32" s="2269" customFormat="1" ht="11.45" customHeight="1">
      <c r="A162" s="912"/>
      <c r="B162" s="1555"/>
      <c r="C162" s="1555"/>
      <c r="D162" s="288"/>
      <c r="K162" s="1079"/>
      <c r="L162" s="1555"/>
      <c r="M162" s="1555"/>
      <c r="N162" s="1079"/>
      <c r="O162" s="1079"/>
      <c r="P162" s="1079"/>
      <c r="Q162" s="1079"/>
      <c r="R162" s="1555"/>
      <c r="S162" s="1079"/>
      <c r="T162" s="1079"/>
      <c r="U162" s="481"/>
      <c r="V162" s="1079"/>
      <c r="W162" s="1079"/>
      <c r="X162" s="1079"/>
      <c r="Y162" s="1079"/>
      <c r="Z162" s="1079"/>
      <c r="AA162" s="1551"/>
      <c r="AB162" s="503"/>
      <c r="AC162" s="503"/>
      <c r="AD162" s="503"/>
      <c r="AE162" s="503"/>
      <c r="AF162" s="1560">
        <v>11</v>
      </c>
    </row>
    <row r="163" spans="1:32" s="2269" customFormat="1" ht="11.45" customHeight="1">
      <c r="A163" s="912"/>
      <c r="B163" s="1555"/>
      <c r="C163" s="1555"/>
      <c r="D163" s="288"/>
      <c r="K163" s="1079"/>
      <c r="L163" s="1555"/>
      <c r="M163" s="1555"/>
      <c r="N163" s="1079"/>
      <c r="O163" s="1079"/>
      <c r="P163" s="1079"/>
      <c r="Q163" s="1079"/>
      <c r="R163" s="1555"/>
      <c r="S163" s="1079"/>
      <c r="T163" s="1079"/>
      <c r="U163" s="481"/>
      <c r="V163" s="1079"/>
      <c r="W163" s="1079"/>
      <c r="X163" s="1079"/>
      <c r="Y163" s="1079"/>
      <c r="Z163" s="1079"/>
      <c r="AA163" s="1551"/>
      <c r="AB163" s="503"/>
      <c r="AC163" s="503"/>
      <c r="AD163" s="503"/>
      <c r="AE163" s="503"/>
      <c r="AF163" s="1560">
        <v>11</v>
      </c>
    </row>
    <row r="164" spans="1:32" s="2269" customFormat="1" ht="11.45" customHeight="1">
      <c r="A164" s="912"/>
      <c r="B164" s="1555"/>
      <c r="C164" s="1555"/>
      <c r="D164" s="288"/>
      <c r="K164" s="1079"/>
      <c r="L164" s="1555"/>
      <c r="M164" s="1555"/>
      <c r="N164" s="1079"/>
      <c r="O164" s="1079"/>
      <c r="P164" s="1079"/>
      <c r="Q164" s="1079"/>
      <c r="R164" s="1555"/>
      <c r="S164" s="1079"/>
      <c r="T164" s="1079"/>
      <c r="U164" s="481"/>
      <c r="V164" s="1079"/>
      <c r="W164" s="1079"/>
      <c r="X164" s="1079"/>
      <c r="Y164" s="1079"/>
      <c r="Z164" s="1079"/>
      <c r="AA164" s="1551"/>
      <c r="AB164" s="503"/>
      <c r="AC164" s="503"/>
      <c r="AD164" s="503"/>
      <c r="AE164" s="503"/>
      <c r="AF164" s="1560">
        <v>11</v>
      </c>
    </row>
    <row r="165" spans="1:32" s="2269" customFormat="1" ht="11.45" customHeight="1">
      <c r="A165" s="912"/>
      <c r="B165" s="1555"/>
      <c r="C165" s="1555"/>
      <c r="D165" s="288"/>
      <c r="K165" s="1079"/>
      <c r="L165" s="1555"/>
      <c r="M165" s="1555"/>
      <c r="N165" s="1079"/>
      <c r="O165" s="1079"/>
      <c r="P165" s="1079"/>
      <c r="Q165" s="1079"/>
      <c r="R165" s="1555"/>
      <c r="S165" s="1079"/>
      <c r="T165" s="1079"/>
      <c r="U165" s="481"/>
      <c r="V165" s="1079"/>
      <c r="W165" s="1079"/>
      <c r="X165" s="1079"/>
      <c r="Y165" s="1079"/>
      <c r="Z165" s="1079"/>
      <c r="AA165" s="1551"/>
      <c r="AB165" s="503"/>
      <c r="AC165" s="503"/>
      <c r="AD165" s="503"/>
      <c r="AE165" s="503"/>
      <c r="AF165" s="1560">
        <v>11</v>
      </c>
    </row>
    <row r="166" spans="1:32" s="2269" customFormat="1" ht="11.45" customHeight="1">
      <c r="A166" s="912"/>
      <c r="B166" s="1555"/>
      <c r="C166" s="1555"/>
      <c r="D166" s="288"/>
      <c r="K166" s="1079"/>
      <c r="L166" s="1555"/>
      <c r="M166" s="1555"/>
      <c r="N166" s="1079"/>
      <c r="O166" s="1079"/>
      <c r="P166" s="1079"/>
      <c r="Q166" s="1079"/>
      <c r="R166" s="1555"/>
      <c r="S166" s="1079"/>
      <c r="T166" s="1079"/>
      <c r="U166" s="481"/>
      <c r="V166" s="1079"/>
      <c r="W166" s="1079"/>
      <c r="X166" s="1079"/>
      <c r="Y166" s="1079"/>
      <c r="Z166" s="1079"/>
      <c r="AA166" s="1551"/>
      <c r="AB166" s="503"/>
      <c r="AC166" s="503"/>
      <c r="AD166" s="503"/>
      <c r="AE166" s="503"/>
      <c r="AF166" s="1560">
        <v>11</v>
      </c>
    </row>
    <row r="167" spans="1:32" s="2269" customFormat="1" ht="11.45" customHeight="1">
      <c r="A167" s="912"/>
      <c r="B167" s="1555"/>
      <c r="C167" s="1555"/>
      <c r="D167" s="288"/>
      <c r="K167" s="1079"/>
      <c r="L167" s="1555"/>
      <c r="M167" s="1555"/>
      <c r="N167" s="1079"/>
      <c r="O167" s="1079"/>
      <c r="P167" s="1079"/>
      <c r="Q167" s="1079"/>
      <c r="R167" s="1555"/>
      <c r="S167" s="1079"/>
      <c r="T167" s="1079"/>
      <c r="U167" s="481"/>
      <c r="V167" s="1079"/>
      <c r="W167" s="1079"/>
      <c r="X167" s="1079"/>
      <c r="Y167" s="1079"/>
      <c r="Z167" s="1079"/>
      <c r="AA167" s="1551"/>
      <c r="AB167" s="503"/>
      <c r="AC167" s="503"/>
      <c r="AD167" s="503"/>
      <c r="AE167" s="503"/>
      <c r="AF167" s="1560">
        <v>11</v>
      </c>
    </row>
    <row r="168" spans="1:32" s="2269" customFormat="1" ht="11.45" customHeight="1">
      <c r="A168" s="912"/>
      <c r="B168" s="1555"/>
      <c r="C168" s="1555"/>
      <c r="D168" s="288"/>
      <c r="K168" s="1079"/>
      <c r="L168" s="1555"/>
      <c r="M168" s="1555"/>
      <c r="N168" s="1079"/>
      <c r="O168" s="1079"/>
      <c r="P168" s="1079"/>
      <c r="Q168" s="1079"/>
      <c r="R168" s="1555"/>
      <c r="S168" s="1079"/>
      <c r="T168" s="1079"/>
      <c r="U168" s="481"/>
      <c r="V168" s="1079"/>
      <c r="W168" s="1079"/>
      <c r="X168" s="1079"/>
      <c r="Y168" s="1079"/>
      <c r="Z168" s="1079"/>
      <c r="AA168" s="1551"/>
      <c r="AB168" s="503"/>
      <c r="AC168" s="503"/>
      <c r="AD168" s="503"/>
      <c r="AE168" s="503"/>
      <c r="AF168" s="1560">
        <v>11</v>
      </c>
    </row>
    <row r="169" spans="1:32" s="2269" customFormat="1" ht="11.45" customHeight="1">
      <c r="A169" s="912"/>
      <c r="B169" s="1555"/>
      <c r="C169" s="1555"/>
      <c r="D169" s="288"/>
      <c r="K169" s="1079"/>
      <c r="L169" s="1555"/>
      <c r="M169" s="1555"/>
      <c r="N169" s="1079"/>
      <c r="O169" s="1079"/>
      <c r="P169" s="1079"/>
      <c r="Q169" s="1079"/>
      <c r="R169" s="1555"/>
      <c r="S169" s="1079"/>
      <c r="T169" s="1079"/>
      <c r="U169" s="481"/>
      <c r="V169" s="1079"/>
      <c r="W169" s="1079"/>
      <c r="X169" s="1079"/>
      <c r="Y169" s="1079"/>
      <c r="Z169" s="1079"/>
      <c r="AA169" s="1551"/>
      <c r="AB169" s="503"/>
      <c r="AC169" s="503"/>
      <c r="AD169" s="503"/>
      <c r="AE169" s="503"/>
      <c r="AF169" s="1560">
        <v>11</v>
      </c>
    </row>
    <row r="170" spans="1:32" s="2269" customFormat="1" ht="11.45" customHeight="1">
      <c r="A170" s="912"/>
      <c r="B170" s="1555"/>
      <c r="C170" s="1555"/>
      <c r="D170" s="288"/>
      <c r="K170" s="1079"/>
      <c r="L170" s="1555"/>
      <c r="M170" s="1555"/>
      <c r="N170" s="1079"/>
      <c r="O170" s="1079"/>
      <c r="P170" s="1079"/>
      <c r="Q170" s="1079"/>
      <c r="R170" s="1555"/>
      <c r="S170" s="1079"/>
      <c r="T170" s="1079"/>
      <c r="U170" s="481"/>
      <c r="V170" s="1079"/>
      <c r="W170" s="1079"/>
      <c r="X170" s="1079"/>
      <c r="Y170" s="1079"/>
      <c r="Z170" s="1079"/>
      <c r="AA170" s="1551"/>
      <c r="AB170" s="503"/>
      <c r="AC170" s="503"/>
      <c r="AD170" s="503"/>
      <c r="AE170" s="503"/>
      <c r="AF170" s="1560">
        <v>11</v>
      </c>
    </row>
    <row r="171" spans="1:32" s="2269" customFormat="1" ht="11.45" customHeight="1">
      <c r="A171" s="912"/>
      <c r="B171" s="1555"/>
      <c r="C171" s="1555"/>
      <c r="D171" s="288"/>
      <c r="K171" s="1079"/>
      <c r="L171" s="1555"/>
      <c r="M171" s="1555"/>
      <c r="N171" s="1079"/>
      <c r="O171" s="1079"/>
      <c r="P171" s="1079"/>
      <c r="Q171" s="1079"/>
      <c r="R171" s="1555"/>
      <c r="S171" s="1079"/>
      <c r="T171" s="1079"/>
      <c r="U171" s="481"/>
      <c r="V171" s="1079"/>
      <c r="W171" s="1079"/>
      <c r="X171" s="1079"/>
      <c r="Y171" s="1079"/>
      <c r="Z171" s="1079"/>
      <c r="AA171" s="1551"/>
      <c r="AB171" s="503"/>
      <c r="AC171" s="503"/>
      <c r="AD171" s="503"/>
      <c r="AE171" s="503"/>
      <c r="AF171" s="1560">
        <v>11</v>
      </c>
    </row>
    <row r="172" spans="1:32" s="2269" customFormat="1" ht="11.45" customHeight="1">
      <c r="A172" s="912"/>
      <c r="B172" s="1555"/>
      <c r="C172" s="1555"/>
      <c r="D172" s="288"/>
      <c r="K172" s="1079"/>
      <c r="L172" s="1555"/>
      <c r="M172" s="1555"/>
      <c r="N172" s="1079"/>
      <c r="O172" s="1079"/>
      <c r="P172" s="1079"/>
      <c r="Q172" s="1079"/>
      <c r="R172" s="1555"/>
      <c r="S172" s="1079"/>
      <c r="T172" s="1079"/>
      <c r="U172" s="481"/>
      <c r="V172" s="1079"/>
      <c r="W172" s="1079"/>
      <c r="X172" s="1079"/>
      <c r="Y172" s="1079"/>
      <c r="Z172" s="1079"/>
      <c r="AA172" s="1551"/>
      <c r="AB172" s="503"/>
      <c r="AC172" s="503"/>
      <c r="AD172" s="503"/>
      <c r="AE172" s="503"/>
      <c r="AF172" s="1560">
        <v>11</v>
      </c>
    </row>
    <row r="173" spans="1:32" s="2269" customFormat="1" ht="11.45" customHeight="1">
      <c r="A173" s="912"/>
      <c r="B173" s="1555"/>
      <c r="C173" s="1555"/>
      <c r="D173" s="288"/>
      <c r="K173" s="1079"/>
      <c r="L173" s="1555"/>
      <c r="M173" s="1555"/>
      <c r="N173" s="1079"/>
      <c r="O173" s="1079"/>
      <c r="P173" s="1079"/>
      <c r="Q173" s="1079"/>
      <c r="R173" s="1555"/>
      <c r="S173" s="1079"/>
      <c r="T173" s="1079"/>
      <c r="U173" s="481"/>
      <c r="V173" s="1079"/>
      <c r="W173" s="1079"/>
      <c r="X173" s="1079"/>
      <c r="Y173" s="1079"/>
      <c r="Z173" s="1079"/>
      <c r="AA173" s="1551"/>
      <c r="AB173" s="503"/>
      <c r="AC173" s="503"/>
      <c r="AD173" s="503"/>
      <c r="AE173" s="503"/>
      <c r="AF173" s="1560">
        <v>11</v>
      </c>
    </row>
    <row r="174" spans="1:32" s="2269" customFormat="1" ht="11.45" customHeight="1">
      <c r="A174" s="912"/>
      <c r="B174" s="1555"/>
      <c r="C174" s="1555"/>
      <c r="D174" s="288"/>
      <c r="K174" s="1079"/>
      <c r="L174" s="1555"/>
      <c r="M174" s="1555"/>
      <c r="N174" s="1079"/>
      <c r="O174" s="1079"/>
      <c r="P174" s="1079"/>
      <c r="Q174" s="1079"/>
      <c r="R174" s="1555"/>
      <c r="S174" s="1079"/>
      <c r="T174" s="1079"/>
      <c r="U174" s="481"/>
      <c r="V174" s="1079"/>
      <c r="W174" s="1079"/>
      <c r="X174" s="1079"/>
      <c r="Y174" s="1079"/>
      <c r="Z174" s="1079"/>
      <c r="AA174" s="1551"/>
      <c r="AB174" s="503"/>
      <c r="AC174" s="503"/>
      <c r="AD174" s="503"/>
      <c r="AE174" s="503"/>
      <c r="AF174" s="1560">
        <v>11</v>
      </c>
    </row>
    <row r="175" spans="1:32" s="2269" customFormat="1" ht="11.45" customHeight="1">
      <c r="A175" s="912"/>
      <c r="B175" s="1555"/>
      <c r="C175" s="1555"/>
      <c r="D175" s="288"/>
      <c r="K175" s="1079"/>
      <c r="L175" s="1555"/>
      <c r="M175" s="1555"/>
      <c r="N175" s="1079"/>
      <c r="O175" s="1079"/>
      <c r="P175" s="1079"/>
      <c r="Q175" s="1079"/>
      <c r="R175" s="1555"/>
      <c r="S175" s="1079"/>
      <c r="T175" s="1079"/>
      <c r="U175" s="481"/>
      <c r="V175" s="1079"/>
      <c r="W175" s="1079"/>
      <c r="X175" s="1079"/>
      <c r="Y175" s="1079"/>
      <c r="Z175" s="1079"/>
      <c r="AA175" s="1551"/>
      <c r="AB175" s="503"/>
      <c r="AC175" s="503"/>
      <c r="AD175" s="503"/>
      <c r="AE175" s="503"/>
      <c r="AF175" s="1560">
        <v>11</v>
      </c>
    </row>
    <row r="176" spans="1:32" s="2269" customFormat="1" ht="11.45" customHeight="1">
      <c r="A176" s="912"/>
      <c r="B176" s="1555"/>
      <c r="C176" s="1555"/>
      <c r="D176" s="288"/>
      <c r="K176" s="1079"/>
      <c r="L176" s="1555"/>
      <c r="M176" s="1555"/>
      <c r="N176" s="1079"/>
      <c r="O176" s="1079"/>
      <c r="P176" s="1079"/>
      <c r="Q176" s="1079"/>
      <c r="R176" s="1555"/>
      <c r="S176" s="1079"/>
      <c r="T176" s="1079"/>
      <c r="U176" s="481"/>
      <c r="V176" s="1079"/>
      <c r="W176" s="1079"/>
      <c r="X176" s="1079"/>
      <c r="Y176" s="1079"/>
      <c r="Z176" s="1079"/>
      <c r="AA176" s="1551"/>
      <c r="AB176" s="503"/>
      <c r="AC176" s="503"/>
      <c r="AD176" s="503"/>
      <c r="AE176" s="503"/>
      <c r="AF176" s="1560">
        <v>11</v>
      </c>
    </row>
    <row r="177" spans="1:32" s="2269" customFormat="1" ht="11.45" customHeight="1">
      <c r="A177" s="912"/>
      <c r="B177" s="1555"/>
      <c r="C177" s="1555"/>
      <c r="D177" s="288"/>
      <c r="K177" s="1079"/>
      <c r="L177" s="1555"/>
      <c r="M177" s="1555"/>
      <c r="N177" s="1079"/>
      <c r="O177" s="1079"/>
      <c r="P177" s="1079"/>
      <c r="Q177" s="1079"/>
      <c r="R177" s="1555"/>
      <c r="S177" s="1079"/>
      <c r="T177" s="1079"/>
      <c r="U177" s="481"/>
      <c r="V177" s="1079"/>
      <c r="W177" s="1079"/>
      <c r="X177" s="1079"/>
      <c r="Y177" s="1079"/>
      <c r="Z177" s="1079"/>
      <c r="AA177" s="1551"/>
      <c r="AB177" s="503"/>
      <c r="AC177" s="503"/>
      <c r="AD177" s="503"/>
      <c r="AE177" s="503"/>
      <c r="AF177" s="1560">
        <v>11</v>
      </c>
    </row>
    <row r="178" spans="1:32" s="2269" customFormat="1" ht="11.45" customHeight="1">
      <c r="A178" s="912"/>
      <c r="B178" s="1555"/>
      <c r="C178" s="1555"/>
      <c r="D178" s="288"/>
      <c r="K178" s="1079"/>
      <c r="L178" s="1555"/>
      <c r="M178" s="1555"/>
      <c r="N178" s="1079"/>
      <c r="O178" s="1079"/>
      <c r="P178" s="1079"/>
      <c r="Q178" s="1079"/>
      <c r="R178" s="1555"/>
      <c r="S178" s="1079"/>
      <c r="T178" s="1079"/>
      <c r="U178" s="481"/>
      <c r="V178" s="1079"/>
      <c r="W178" s="1079"/>
      <c r="X178" s="1079"/>
      <c r="Y178" s="1079"/>
      <c r="Z178" s="1079"/>
      <c r="AA178" s="1551"/>
      <c r="AB178" s="503"/>
      <c r="AC178" s="503"/>
      <c r="AD178" s="503"/>
      <c r="AE178" s="503"/>
      <c r="AF178" s="1560">
        <v>11</v>
      </c>
    </row>
    <row r="179" spans="1:32" s="2269" customFormat="1" ht="11.45" customHeight="1">
      <c r="A179" s="912"/>
      <c r="B179" s="1555"/>
      <c r="C179" s="1555"/>
      <c r="D179" s="288"/>
      <c r="K179" s="1079"/>
      <c r="L179" s="1555"/>
      <c r="M179" s="1555"/>
      <c r="N179" s="1079"/>
      <c r="O179" s="1079"/>
      <c r="P179" s="1079"/>
      <c r="Q179" s="1079"/>
      <c r="R179" s="1555"/>
      <c r="S179" s="1079"/>
      <c r="T179" s="1079"/>
      <c r="U179" s="481"/>
      <c r="V179" s="1079"/>
      <c r="W179" s="1079"/>
      <c r="X179" s="1079"/>
      <c r="Y179" s="1079"/>
      <c r="Z179" s="1079"/>
      <c r="AA179" s="1551"/>
      <c r="AB179" s="503"/>
      <c r="AC179" s="503"/>
      <c r="AD179" s="503"/>
      <c r="AE179" s="503"/>
      <c r="AF179" s="1560">
        <v>11</v>
      </c>
    </row>
    <row r="180" spans="1:32" s="2269" customFormat="1" ht="11.45" customHeight="1">
      <c r="A180" s="912"/>
      <c r="B180" s="1555"/>
      <c r="C180" s="1555"/>
      <c r="D180" s="288"/>
      <c r="K180" s="1079"/>
      <c r="L180" s="1555"/>
      <c r="M180" s="1555"/>
      <c r="N180" s="1079"/>
      <c r="O180" s="1079"/>
      <c r="P180" s="1079"/>
      <c r="Q180" s="1079"/>
      <c r="R180" s="1555"/>
      <c r="S180" s="1079"/>
      <c r="T180" s="1079"/>
      <c r="U180" s="481"/>
      <c r="V180" s="1079"/>
      <c r="W180" s="1079"/>
      <c r="X180" s="1079"/>
      <c r="Y180" s="1079"/>
      <c r="Z180" s="1079"/>
      <c r="AA180" s="1551"/>
      <c r="AB180" s="503"/>
      <c r="AC180" s="503"/>
      <c r="AD180" s="503"/>
      <c r="AE180" s="503"/>
      <c r="AF180" s="1560">
        <v>11</v>
      </c>
    </row>
    <row r="181" spans="1:32" s="2269" customFormat="1" ht="11.45" customHeight="1">
      <c r="A181" s="912"/>
      <c r="B181" s="1555"/>
      <c r="C181" s="1555"/>
      <c r="D181" s="288"/>
      <c r="K181" s="1079"/>
      <c r="L181" s="1555"/>
      <c r="M181" s="1555"/>
      <c r="N181" s="1079"/>
      <c r="O181" s="1079"/>
      <c r="P181" s="1079"/>
      <c r="Q181" s="1079"/>
      <c r="R181" s="1555"/>
      <c r="S181" s="1079"/>
      <c r="T181" s="1079"/>
      <c r="U181" s="481"/>
      <c r="V181" s="1079"/>
      <c r="W181" s="1079"/>
      <c r="X181" s="1079"/>
      <c r="Y181" s="1079"/>
      <c r="Z181" s="1079"/>
      <c r="AA181" s="1551"/>
      <c r="AB181" s="503"/>
      <c r="AC181" s="503"/>
      <c r="AD181" s="503"/>
      <c r="AE181" s="503"/>
      <c r="AF181" s="1560">
        <v>11</v>
      </c>
    </row>
    <row r="182" spans="1:32" s="2269" customFormat="1" ht="11.45" customHeight="1">
      <c r="A182" s="912"/>
      <c r="B182" s="1555"/>
      <c r="C182" s="1555"/>
      <c r="D182" s="288"/>
      <c r="K182" s="1079"/>
      <c r="L182" s="1555"/>
      <c r="M182" s="1555"/>
      <c r="N182" s="1079"/>
      <c r="O182" s="1079"/>
      <c r="P182" s="1079"/>
      <c r="Q182" s="1079"/>
      <c r="R182" s="1555"/>
      <c r="S182" s="1079"/>
      <c r="T182" s="1079"/>
      <c r="U182" s="481"/>
      <c r="V182" s="1079"/>
      <c r="W182" s="1079"/>
      <c r="X182" s="1079"/>
      <c r="Y182" s="1079"/>
      <c r="Z182" s="1079"/>
      <c r="AA182" s="1551"/>
      <c r="AB182" s="503"/>
      <c r="AC182" s="503"/>
      <c r="AD182" s="503"/>
      <c r="AE182" s="503"/>
      <c r="AF182" s="1560">
        <v>11</v>
      </c>
    </row>
    <row r="183" spans="1:32" s="2269" customFormat="1" ht="11.45" customHeight="1">
      <c r="A183" s="912"/>
      <c r="B183" s="1555"/>
      <c r="C183" s="1555"/>
      <c r="D183" s="288"/>
      <c r="K183" s="1079"/>
      <c r="L183" s="1555"/>
      <c r="M183" s="1555"/>
      <c r="N183" s="1079"/>
      <c r="O183" s="1079"/>
      <c r="P183" s="1079"/>
      <c r="Q183" s="1079"/>
      <c r="R183" s="1555"/>
      <c r="S183" s="1079"/>
      <c r="T183" s="1079"/>
      <c r="U183" s="481"/>
      <c r="V183" s="1079"/>
      <c r="W183" s="1079"/>
      <c r="X183" s="1079"/>
      <c r="Y183" s="1079"/>
      <c r="Z183" s="1079"/>
      <c r="AA183" s="1551"/>
      <c r="AB183" s="503"/>
      <c r="AC183" s="503"/>
      <c r="AD183" s="503"/>
      <c r="AE183" s="503"/>
      <c r="AF183" s="1560">
        <v>11</v>
      </c>
    </row>
    <row r="184" spans="1:32" s="2269" customFormat="1" ht="11.45" customHeight="1">
      <c r="A184" s="912"/>
      <c r="B184" s="1555"/>
      <c r="C184" s="1555"/>
      <c r="D184" s="288"/>
      <c r="K184" s="1079"/>
      <c r="L184" s="1555"/>
      <c r="M184" s="1555"/>
      <c r="N184" s="1079"/>
      <c r="O184" s="1079"/>
      <c r="P184" s="1079"/>
      <c r="Q184" s="1079"/>
      <c r="R184" s="1555"/>
      <c r="S184" s="1079"/>
      <c r="T184" s="1079"/>
      <c r="U184" s="481"/>
      <c r="V184" s="1079"/>
      <c r="W184" s="1079"/>
      <c r="X184" s="1079"/>
      <c r="Y184" s="1079"/>
      <c r="Z184" s="1079"/>
      <c r="AA184" s="1551"/>
      <c r="AB184" s="503"/>
      <c r="AC184" s="503"/>
      <c r="AD184" s="503"/>
      <c r="AE184" s="503"/>
      <c r="AF184" s="1560">
        <v>11</v>
      </c>
    </row>
    <row r="185" spans="1:32" s="2269" customFormat="1" ht="11.45" customHeight="1">
      <c r="A185" s="912"/>
      <c r="B185" s="1555"/>
      <c r="C185" s="1555"/>
      <c r="D185" s="288"/>
      <c r="K185" s="1079"/>
      <c r="L185" s="1555"/>
      <c r="M185" s="1555"/>
      <c r="N185" s="1079"/>
      <c r="O185" s="1079"/>
      <c r="P185" s="1079"/>
      <c r="Q185" s="1079"/>
      <c r="R185" s="1555"/>
      <c r="S185" s="1079"/>
      <c r="T185" s="1079"/>
      <c r="U185" s="481"/>
      <c r="V185" s="1079"/>
      <c r="W185" s="1079"/>
      <c r="X185" s="1079"/>
      <c r="Y185" s="1079"/>
      <c r="Z185" s="1079"/>
      <c r="AA185" s="1551"/>
      <c r="AB185" s="503"/>
      <c r="AC185" s="503"/>
      <c r="AD185" s="503"/>
      <c r="AE185" s="503"/>
      <c r="AF185" s="1560">
        <v>11</v>
      </c>
    </row>
    <row r="186" spans="1:32" s="2269" customFormat="1" ht="11.45" customHeight="1">
      <c r="A186" s="912"/>
      <c r="B186" s="1555"/>
      <c r="C186" s="1555"/>
      <c r="D186" s="288"/>
      <c r="K186" s="1079"/>
      <c r="L186" s="1555"/>
      <c r="M186" s="1555"/>
      <c r="N186" s="1079"/>
      <c r="O186" s="1079"/>
      <c r="P186" s="1079"/>
      <c r="Q186" s="1079"/>
      <c r="R186" s="1555"/>
      <c r="S186" s="1079"/>
      <c r="T186" s="1079"/>
      <c r="U186" s="481"/>
      <c r="V186" s="1079"/>
      <c r="W186" s="1079"/>
      <c r="X186" s="1079"/>
      <c r="Y186" s="1079"/>
      <c r="Z186" s="1079"/>
      <c r="AA186" s="1551"/>
      <c r="AB186" s="503"/>
      <c r="AC186" s="503"/>
      <c r="AD186" s="503"/>
      <c r="AE186" s="503"/>
      <c r="AF186" s="1560">
        <v>11</v>
      </c>
    </row>
    <row r="187" spans="1:32" s="2269" customFormat="1" ht="11.45" customHeight="1">
      <c r="A187" s="912"/>
      <c r="B187" s="1555"/>
      <c r="C187" s="1555"/>
      <c r="D187" s="288"/>
      <c r="K187" s="1079"/>
      <c r="L187" s="1555"/>
      <c r="M187" s="1555"/>
      <c r="N187" s="1079"/>
      <c r="O187" s="1079"/>
      <c r="P187" s="1079"/>
      <c r="Q187" s="1079"/>
      <c r="R187" s="1555"/>
      <c r="S187" s="1079"/>
      <c r="T187" s="1079"/>
      <c r="U187" s="481"/>
      <c r="V187" s="1079"/>
      <c r="W187" s="1079"/>
      <c r="X187" s="1079"/>
      <c r="Y187" s="1079"/>
      <c r="Z187" s="1079"/>
      <c r="AA187" s="1551"/>
      <c r="AB187" s="503"/>
      <c r="AC187" s="503"/>
      <c r="AD187" s="503"/>
      <c r="AE187" s="503"/>
      <c r="AF187" s="1560">
        <v>11</v>
      </c>
    </row>
    <row r="188" spans="1:32" s="2269" customFormat="1" ht="11.45" customHeight="1">
      <c r="A188" s="912"/>
      <c r="B188" s="1555"/>
      <c r="C188" s="1555"/>
      <c r="D188" s="288"/>
      <c r="K188" s="1079"/>
      <c r="L188" s="1555"/>
      <c r="M188" s="1555"/>
      <c r="N188" s="1079"/>
      <c r="O188" s="1079"/>
      <c r="P188" s="1079"/>
      <c r="Q188" s="1079"/>
      <c r="R188" s="1555"/>
      <c r="S188" s="1079"/>
      <c r="T188" s="1079"/>
      <c r="U188" s="481"/>
      <c r="V188" s="1079"/>
      <c r="W188" s="1079"/>
      <c r="X188" s="1079"/>
      <c r="Y188" s="1079"/>
      <c r="Z188" s="1079"/>
      <c r="AA188" s="1551"/>
      <c r="AB188" s="503"/>
      <c r="AC188" s="503"/>
      <c r="AD188" s="503"/>
      <c r="AE188" s="503"/>
      <c r="AF188" s="1560">
        <v>11</v>
      </c>
    </row>
    <row r="189" spans="1:32" s="2269" customFormat="1" ht="11.45" customHeight="1">
      <c r="A189" s="912"/>
      <c r="B189" s="1555"/>
      <c r="C189" s="1555"/>
      <c r="D189" s="288"/>
      <c r="K189" s="1079"/>
      <c r="L189" s="1555"/>
      <c r="M189" s="1555"/>
      <c r="N189" s="1079"/>
      <c r="O189" s="1079"/>
      <c r="P189" s="1079"/>
      <c r="Q189" s="1079"/>
      <c r="R189" s="1555"/>
      <c r="S189" s="1079"/>
      <c r="T189" s="1079"/>
      <c r="U189" s="481"/>
      <c r="V189" s="1079"/>
      <c r="W189" s="1079"/>
      <c r="X189" s="1079"/>
      <c r="Y189" s="1079"/>
      <c r="Z189" s="1079"/>
      <c r="AA189" s="1551"/>
      <c r="AB189" s="503"/>
      <c r="AC189" s="503"/>
      <c r="AD189" s="503"/>
      <c r="AE189" s="503"/>
      <c r="AF189" s="1560">
        <v>11</v>
      </c>
    </row>
    <row r="190" spans="1:32" s="2269" customFormat="1" ht="11.45" customHeight="1">
      <c r="A190" s="912"/>
      <c r="B190" s="1555"/>
      <c r="C190" s="1555"/>
      <c r="D190" s="288"/>
      <c r="K190" s="1079"/>
      <c r="L190" s="1555"/>
      <c r="M190" s="1555"/>
      <c r="N190" s="1079"/>
      <c r="O190" s="1079"/>
      <c r="P190" s="1079"/>
      <c r="Q190" s="1079"/>
      <c r="R190" s="1555"/>
      <c r="S190" s="1079"/>
      <c r="T190" s="1079"/>
      <c r="U190" s="481"/>
      <c r="V190" s="1079"/>
      <c r="W190" s="1079"/>
      <c r="X190" s="1079"/>
      <c r="Y190" s="1079"/>
      <c r="Z190" s="1079"/>
      <c r="AA190" s="1551"/>
      <c r="AB190" s="503"/>
      <c r="AC190" s="503"/>
      <c r="AD190" s="503"/>
      <c r="AE190" s="503"/>
      <c r="AF190" s="1560">
        <v>11</v>
      </c>
    </row>
    <row r="191" spans="1:32" s="2269" customFormat="1" ht="11.45" customHeight="1">
      <c r="A191" s="912"/>
      <c r="B191" s="1555"/>
      <c r="C191" s="1555"/>
      <c r="D191" s="288"/>
      <c r="K191" s="1079"/>
      <c r="L191" s="1555"/>
      <c r="M191" s="1555"/>
      <c r="N191" s="1079"/>
      <c r="O191" s="1079"/>
      <c r="P191" s="1079"/>
      <c r="Q191" s="1079"/>
      <c r="R191" s="1555"/>
      <c r="S191" s="1079"/>
      <c r="T191" s="1079"/>
      <c r="U191" s="481"/>
      <c r="V191" s="1079"/>
      <c r="W191" s="1079"/>
      <c r="X191" s="1079"/>
      <c r="Y191" s="1079"/>
      <c r="Z191" s="1079"/>
      <c r="AA191" s="1551"/>
      <c r="AB191" s="503"/>
      <c r="AC191" s="503"/>
      <c r="AD191" s="503"/>
      <c r="AE191" s="503"/>
      <c r="AF191" s="1560">
        <v>11</v>
      </c>
    </row>
    <row r="192" spans="1:32" s="2269" customFormat="1" ht="11.45" customHeight="1">
      <c r="A192" s="912"/>
      <c r="B192" s="1555"/>
      <c r="C192" s="1555"/>
      <c r="D192" s="288"/>
      <c r="K192" s="1079"/>
      <c r="L192" s="1555"/>
      <c r="M192" s="1555"/>
      <c r="N192" s="1079"/>
      <c r="O192" s="1079"/>
      <c r="P192" s="1079"/>
      <c r="Q192" s="1079"/>
      <c r="R192" s="1555"/>
      <c r="S192" s="1079"/>
      <c r="T192" s="1079"/>
      <c r="U192" s="481"/>
      <c r="V192" s="1079"/>
      <c r="W192" s="1079"/>
      <c r="X192" s="1079"/>
      <c r="Y192" s="1079"/>
      <c r="Z192" s="1079"/>
      <c r="AA192" s="1551"/>
      <c r="AB192" s="503"/>
      <c r="AC192" s="503"/>
      <c r="AD192" s="503"/>
      <c r="AE192" s="503"/>
      <c r="AF192" s="1560">
        <v>11</v>
      </c>
    </row>
    <row r="193" spans="1:32" s="2269" customFormat="1" ht="11.45" customHeight="1">
      <c r="A193" s="912"/>
      <c r="B193" s="1555"/>
      <c r="C193" s="1555"/>
      <c r="D193" s="288"/>
      <c r="K193" s="1079"/>
      <c r="L193" s="1555"/>
      <c r="M193" s="1555"/>
      <c r="N193" s="1079"/>
      <c r="O193" s="1079"/>
      <c r="P193" s="1079"/>
      <c r="Q193" s="1079"/>
      <c r="R193" s="1555"/>
      <c r="S193" s="1079"/>
      <c r="T193" s="1079"/>
      <c r="U193" s="481"/>
      <c r="V193" s="1079"/>
      <c r="W193" s="1079"/>
      <c r="X193" s="1079"/>
      <c r="Y193" s="1079"/>
      <c r="Z193" s="1079"/>
      <c r="AA193" s="1551"/>
      <c r="AB193" s="503"/>
      <c r="AC193" s="503"/>
      <c r="AD193" s="503"/>
      <c r="AE193" s="503"/>
      <c r="AF193" s="1560">
        <v>11</v>
      </c>
    </row>
    <row r="194" spans="1:32" s="2269" customFormat="1" ht="11.45" customHeight="1">
      <c r="A194" s="912"/>
      <c r="B194" s="1555"/>
      <c r="C194" s="1555"/>
      <c r="D194" s="288"/>
      <c r="K194" s="1079"/>
      <c r="L194" s="1555"/>
      <c r="M194" s="1555"/>
      <c r="N194" s="1079"/>
      <c r="O194" s="1079"/>
      <c r="P194" s="1079"/>
      <c r="Q194" s="1079"/>
      <c r="R194" s="1555"/>
      <c r="S194" s="1079"/>
      <c r="T194" s="1079"/>
      <c r="U194" s="481"/>
      <c r="V194" s="1079"/>
      <c r="W194" s="1079"/>
      <c r="X194" s="1079"/>
      <c r="Y194" s="1079"/>
      <c r="Z194" s="1079"/>
      <c r="AA194" s="1551"/>
      <c r="AB194" s="503"/>
      <c r="AC194" s="503"/>
      <c r="AD194" s="503"/>
      <c r="AE194" s="503"/>
      <c r="AF194" s="1560">
        <v>11</v>
      </c>
    </row>
    <row r="195" spans="1:32" s="2269" customFormat="1" ht="11.45" customHeight="1">
      <c r="A195" s="912"/>
      <c r="B195" s="1555"/>
      <c r="C195" s="1555"/>
      <c r="D195" s="288"/>
      <c r="K195" s="1079"/>
      <c r="L195" s="1555"/>
      <c r="M195" s="1555"/>
      <c r="N195" s="1079"/>
      <c r="O195" s="1079"/>
      <c r="P195" s="1079"/>
      <c r="Q195" s="1079"/>
      <c r="R195" s="1555"/>
      <c r="S195" s="1079"/>
      <c r="T195" s="1079"/>
      <c r="U195" s="481"/>
      <c r="V195" s="1079"/>
      <c r="W195" s="1079"/>
      <c r="X195" s="1079"/>
      <c r="Y195" s="1079"/>
      <c r="Z195" s="1079"/>
      <c r="AA195" s="1551"/>
      <c r="AB195" s="503"/>
      <c r="AC195" s="503"/>
      <c r="AD195" s="503"/>
      <c r="AE195" s="503"/>
      <c r="AF195" s="1560">
        <v>11</v>
      </c>
    </row>
    <row r="196" spans="1:32" ht="11.45" customHeight="1">
      <c r="AF196" s="1550">
        <v>11</v>
      </c>
    </row>
    <row r="197" spans="1:32" ht="11.45" customHeight="1">
      <c r="AF197" s="1550">
        <v>11</v>
      </c>
    </row>
    <row r="198" spans="1:32" ht="11.45" customHeight="1">
      <c r="AF198" s="1550">
        <v>11</v>
      </c>
    </row>
    <row r="199" spans="1:32" ht="11.45" customHeight="1">
      <c r="A199" s="915"/>
      <c r="B199" s="1550"/>
      <c r="D199" s="1550"/>
      <c r="K199" s="1550"/>
      <c r="N199" s="1550"/>
      <c r="O199" s="1550"/>
      <c r="P199" s="1550"/>
      <c r="Q199" s="1550"/>
      <c r="S199" s="1550"/>
      <c r="T199" s="1550"/>
      <c r="U199" s="1550"/>
      <c r="V199" s="1550"/>
      <c r="W199" s="1550"/>
      <c r="X199" s="1550"/>
      <c r="Y199" s="1550"/>
      <c r="Z199" s="1550"/>
      <c r="AA199" s="1550"/>
      <c r="AB199" s="1550"/>
      <c r="AC199" s="1550"/>
      <c r="AD199" s="1550"/>
      <c r="AE199" s="1550"/>
      <c r="AF199" s="1550">
        <v>11</v>
      </c>
    </row>
    <row r="200" spans="1:32" ht="11.45" customHeight="1">
      <c r="A200" s="915"/>
      <c r="B200" s="1550"/>
      <c r="D200" s="1550"/>
      <c r="K200" s="1550"/>
      <c r="N200" s="1550"/>
      <c r="O200" s="1550"/>
      <c r="P200" s="1550"/>
      <c r="Q200" s="1550"/>
      <c r="S200" s="1550"/>
      <c r="T200" s="1550"/>
      <c r="U200" s="1550"/>
      <c r="V200" s="1550"/>
      <c r="W200" s="1550"/>
      <c r="X200" s="1550"/>
      <c r="Y200" s="1550"/>
      <c r="Z200" s="1550"/>
      <c r="AA200" s="1550"/>
      <c r="AB200" s="1550"/>
      <c r="AC200" s="1550"/>
      <c r="AD200" s="1550"/>
      <c r="AE200" s="1550"/>
      <c r="AF200" s="1550">
        <v>11</v>
      </c>
    </row>
    <row r="201" spans="1:32" ht="11.45" customHeight="1">
      <c r="A201" s="915"/>
      <c r="B201" s="1550"/>
      <c r="D201" s="1550"/>
      <c r="K201" s="1550"/>
      <c r="N201" s="1550"/>
      <c r="O201" s="1550"/>
      <c r="P201" s="1550"/>
      <c r="Q201" s="1550"/>
      <c r="S201" s="1550"/>
      <c r="T201" s="1550"/>
      <c r="U201" s="1550"/>
      <c r="V201" s="1550"/>
      <c r="W201" s="1550"/>
      <c r="X201" s="1550"/>
      <c r="Y201" s="1550"/>
      <c r="Z201" s="1550"/>
      <c r="AA201" s="1550"/>
      <c r="AB201" s="1550"/>
      <c r="AC201" s="1550"/>
      <c r="AD201" s="1550"/>
      <c r="AE201" s="1550"/>
      <c r="AF201" s="1550">
        <v>11</v>
      </c>
    </row>
    <row r="202" spans="1:32" ht="11.45" customHeight="1">
      <c r="A202" s="915"/>
      <c r="B202" s="1550"/>
      <c r="D202" s="1550"/>
      <c r="K202" s="1550"/>
      <c r="N202" s="1550"/>
      <c r="O202" s="1550"/>
      <c r="P202" s="1550"/>
      <c r="Q202" s="1550"/>
      <c r="S202" s="1550"/>
      <c r="T202" s="1550"/>
      <c r="U202" s="1550"/>
      <c r="V202" s="1550"/>
      <c r="W202" s="1550"/>
      <c r="X202" s="1550"/>
      <c r="Y202" s="1550"/>
      <c r="Z202" s="1550"/>
      <c r="AA202" s="1550"/>
      <c r="AB202" s="1550"/>
      <c r="AC202" s="1550"/>
      <c r="AD202" s="1550"/>
      <c r="AE202" s="1550"/>
      <c r="AF202" s="1550">
        <v>11</v>
      </c>
    </row>
    <row r="203" spans="1:32" ht="11.45" customHeight="1">
      <c r="A203" s="915"/>
      <c r="B203" s="1550"/>
      <c r="D203" s="1550"/>
      <c r="K203" s="1550"/>
      <c r="N203" s="1550"/>
      <c r="O203" s="1550"/>
      <c r="P203" s="1550"/>
      <c r="Q203" s="1550"/>
      <c r="S203" s="1550"/>
      <c r="T203" s="1550"/>
      <c r="U203" s="1550"/>
      <c r="V203" s="1550"/>
      <c r="W203" s="1550"/>
      <c r="X203" s="1550"/>
      <c r="Y203" s="1550"/>
      <c r="Z203" s="1550"/>
      <c r="AA203" s="1550"/>
      <c r="AB203" s="1550"/>
      <c r="AC203" s="1550"/>
      <c r="AD203" s="1550"/>
      <c r="AE203" s="1550"/>
      <c r="AF203" s="1550">
        <v>11</v>
      </c>
    </row>
    <row r="204" spans="1:32" ht="11.45" customHeight="1">
      <c r="A204" s="915"/>
      <c r="B204" s="1550"/>
      <c r="D204" s="1550"/>
      <c r="K204" s="1550"/>
      <c r="N204" s="1550"/>
      <c r="O204" s="1550"/>
      <c r="P204" s="1550"/>
      <c r="Q204" s="1550"/>
      <c r="S204" s="1550"/>
      <c r="T204" s="1550"/>
      <c r="U204" s="1550"/>
      <c r="V204" s="1550"/>
      <c r="W204" s="1550"/>
      <c r="X204" s="1550"/>
      <c r="Y204" s="1550"/>
      <c r="Z204" s="1550"/>
      <c r="AA204" s="1550"/>
      <c r="AB204" s="1550"/>
      <c r="AC204" s="1550"/>
      <c r="AD204" s="1550"/>
      <c r="AE204" s="1550"/>
      <c r="AF204" s="1550">
        <v>11</v>
      </c>
    </row>
    <row r="205" spans="1:32" ht="11.45" customHeight="1">
      <c r="A205" s="915"/>
      <c r="B205" s="1550"/>
      <c r="D205" s="1550"/>
      <c r="K205" s="1550"/>
      <c r="N205" s="1550"/>
      <c r="O205" s="1550"/>
      <c r="P205" s="1550"/>
      <c r="Q205" s="1550"/>
      <c r="S205" s="1550"/>
      <c r="T205" s="1550"/>
      <c r="U205" s="1550"/>
      <c r="V205" s="1550"/>
      <c r="W205" s="1550"/>
      <c r="X205" s="1550"/>
      <c r="Y205" s="1550"/>
      <c r="Z205" s="1550"/>
      <c r="AA205" s="1550"/>
      <c r="AB205" s="1550"/>
      <c r="AC205" s="1550"/>
      <c r="AD205" s="1550"/>
      <c r="AE205" s="1550"/>
      <c r="AF205" s="1550">
        <v>11</v>
      </c>
    </row>
    <row r="206" spans="1:32" ht="11.45" customHeight="1">
      <c r="A206" s="915"/>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5"/>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5"/>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5"/>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25" hidden="1" customHeight="1">
      <c r="A210" s="912" t="s">
        <v>81</v>
      </c>
      <c r="B210" s="1079">
        <v>0</v>
      </c>
      <c r="C210" s="1555">
        <v>0</v>
      </c>
      <c r="D210" s="1554">
        <v>3</v>
      </c>
      <c r="E210" s="1550">
        <v>7</v>
      </c>
      <c r="F210" s="1550">
        <v>54</v>
      </c>
      <c r="G210" s="1550">
        <v>10</v>
      </c>
      <c r="H210" s="1550">
        <v>0</v>
      </c>
      <c r="I210" s="1550">
        <v>40</v>
      </c>
      <c r="J210" s="1550">
        <v>102</v>
      </c>
      <c r="K210" s="1079">
        <v>9</v>
      </c>
      <c r="L210" s="1555">
        <v>5</v>
      </c>
      <c r="M210" s="1555">
        <v>3</v>
      </c>
      <c r="N210" s="1079">
        <v>3</v>
      </c>
      <c r="O210" s="1079">
        <v>3</v>
      </c>
      <c r="P210" s="1079">
        <v>3</v>
      </c>
      <c r="Q210" s="1079">
        <v>3</v>
      </c>
      <c r="R210" s="1555">
        <v>10</v>
      </c>
      <c r="S210" s="1079">
        <v>34</v>
      </c>
      <c r="T210" s="1079">
        <v>9</v>
      </c>
      <c r="U210" s="481">
        <v>8</v>
      </c>
      <c r="V210" s="1079">
        <v>8</v>
      </c>
      <c r="W210" s="1079">
        <v>8</v>
      </c>
      <c r="X210" s="1079">
        <v>8</v>
      </c>
      <c r="Y210" s="1079">
        <v>8</v>
      </c>
      <c r="Z210" s="1079">
        <v>8</v>
      </c>
      <c r="AA210" s="1551">
        <v>8</v>
      </c>
      <c r="AB210" s="1551">
        <v>8</v>
      </c>
      <c r="AC210" s="1551">
        <v>8</v>
      </c>
      <c r="AD210" s="1551">
        <v>8</v>
      </c>
      <c r="AE210" s="1551">
        <v>8</v>
      </c>
      <c r="AF210" s="1550">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X102"/>
  <sheetViews>
    <sheetView showGridLines="0" topLeftCell="C98" zoomScale="90" workbookViewId="0">
      <selection activeCell="D3" sqref="D3:K100"/>
    </sheetView>
  </sheetViews>
  <sheetFormatPr defaultColWidth="10.5703125" defaultRowHeight="11.25" customHeight="1"/>
  <cols>
    <col min="1" max="1" width="9.140625" style="2282" hidden="1" customWidth="1"/>
    <col min="2" max="2" width="3.5703125" style="2245" hidden="1" customWidth="1"/>
    <col min="3" max="3" width="3" style="2238" customWidth="1"/>
    <col min="4" max="4" width="7" style="2238" customWidth="1"/>
    <col min="5" max="5" width="69" style="2238" customWidth="1"/>
    <col min="6" max="6" width="10" style="2238" customWidth="1"/>
    <col min="7" max="8" width="44" style="2238" hidden="1" customWidth="1"/>
    <col min="9" max="9" width="44" style="2238" customWidth="1"/>
    <col min="10" max="10" width="11.5703125" style="2238" customWidth="1"/>
    <col min="11" max="11" width="26.140625" style="2238" customWidth="1"/>
    <col min="12" max="12" width="3" style="2238" customWidth="1"/>
    <col min="13" max="23" width="10" style="2238" customWidth="1"/>
    <col min="24" max="24" width="10.5703125" style="2238" hidden="1"/>
  </cols>
  <sheetData>
    <row r="1" spans="1:24" s="2244" customFormat="1" ht="22.5" hidden="1" customHeight="1">
      <c r="A1" s="473"/>
      <c r="B1" s="448"/>
      <c r="G1" s="354">
        <v>4</v>
      </c>
      <c r="I1" s="354">
        <v>4</v>
      </c>
      <c r="K1" s="354">
        <v>5</v>
      </c>
      <c r="X1" s="354" t="s">
        <v>14</v>
      </c>
    </row>
    <row r="2" spans="1:24" ht="3" customHeight="1">
      <c r="X2" s="442">
        <v>3</v>
      </c>
    </row>
    <row r="3" spans="1:24" ht="78.75" customHeight="1">
      <c r="D3" s="2356"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357"/>
      <c r="F3" s="2358"/>
      <c r="X3" s="442">
        <v>75</v>
      </c>
    </row>
    <row r="4" spans="1:24" s="2238" customFormat="1" ht="21" customHeight="1">
      <c r="A4" s="877"/>
      <c r="B4" s="448"/>
      <c r="D4" s="2447" t="str">
        <f>IF(org=0,"Не определено",org)</f>
        <v>МУП "Водоканал"</v>
      </c>
      <c r="E4" s="2448"/>
      <c r="F4" s="2449"/>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46"/>
      <c r="H6" s="946"/>
      <c r="I6" s="946" t="s">
        <v>116</v>
      </c>
      <c r="J6" s="946"/>
      <c r="X6" s="442">
        <v>1</v>
      </c>
    </row>
    <row r="7" spans="1:24" ht="11.45" customHeight="1">
      <c r="D7" s="648"/>
      <c r="E7" s="2566" t="s">
        <v>104</v>
      </c>
      <c r="F7" s="2567"/>
      <c r="G7" s="2589" t="str">
        <f>IF(G6="","",INDEX(DIFFERENTIATION_UNMERGE_VD,MATCH(G6,DIFFERENTIATION_ID_DIFF,0)))</f>
        <v/>
      </c>
      <c r="H7" s="2590"/>
      <c r="I7" s="2589" t="str">
        <f>IF(I6="","",INDEX(DIFFERENTIATION_UNMERGE_VD,MATCH(I6,DIFFERENTIATION_ID_DIFF,0)))</f>
        <v>Водоотведение</v>
      </c>
      <c r="J7" s="2590"/>
      <c r="K7" s="2411"/>
      <c r="L7" s="446"/>
      <c r="X7" s="442">
        <v>11</v>
      </c>
    </row>
    <row r="8" spans="1:24" ht="11.45" customHeight="1">
      <c r="A8" s="641"/>
      <c r="D8" s="648"/>
      <c r="E8" s="2566" t="s">
        <v>562</v>
      </c>
      <c r="F8" s="2567"/>
      <c r="G8" s="2589" t="str">
        <f>IF(G6="","",INDEX(DIFFERENTIATION_UNMERGE_AREA,MATCH(G6,DIFFERENTIATION_ID_DIFF,0)))</f>
        <v/>
      </c>
      <c r="H8" s="2590"/>
      <c r="I8" s="2589" t="str">
        <f>IF(I6="","",INDEX(DIFFERENTIATION_UNMERGE_AREA,MATCH(I6,DIFFERENTIATION_ID_DIFF,0)))</f>
        <v>Территория 1</v>
      </c>
      <c r="J8" s="2590"/>
      <c r="K8" s="2432"/>
      <c r="L8" s="446"/>
      <c r="X8" s="442">
        <v>11</v>
      </c>
    </row>
    <row r="9" spans="1:24" ht="11.45" customHeight="1">
      <c r="A9" s="641"/>
      <c r="D9" s="648"/>
      <c r="E9" s="2566" t="s">
        <v>563</v>
      </c>
      <c r="F9" s="2567"/>
      <c r="G9" s="2589" t="str">
        <f>IF(G6="","",INDEX(DIFFERENTIATION_UNMERGE_SYSTEM,MATCH(G6,DIFFERENTIATION_ID_DIFF,0)))</f>
        <v/>
      </c>
      <c r="H9" s="2590"/>
      <c r="I9" s="2589" t="str">
        <f>IF(I6="","",INDEX(DIFFERENTIATION_UNMERGE_SYSTEM,MATCH(I6,DIFFERENTIATION_ID_DIFF,0)))</f>
        <v>без дифференциации</v>
      </c>
      <c r="J9" s="2590"/>
      <c r="K9" s="2432"/>
      <c r="L9" s="446"/>
      <c r="X9" s="442">
        <v>11</v>
      </c>
    </row>
    <row r="10" spans="1:24" s="2238" customFormat="1" ht="11.45" customHeight="1">
      <c r="A10" s="945"/>
      <c r="B10" s="448"/>
      <c r="D10" s="2335" t="s">
        <v>298</v>
      </c>
      <c r="E10" s="2340"/>
      <c r="F10" s="2340"/>
      <c r="G10" s="2340"/>
      <c r="H10" s="2340"/>
      <c r="I10" s="2340"/>
      <c r="J10" s="2334"/>
      <c r="K10" s="2432"/>
      <c r="L10" s="446"/>
      <c r="X10" s="693">
        <v>11</v>
      </c>
    </row>
    <row r="11" spans="1:24" s="2238" customFormat="1" ht="24" customHeight="1">
      <c r="A11" s="2503"/>
      <c r="B11" s="2503"/>
      <c r="C11" s="594"/>
      <c r="D11" s="640" t="s">
        <v>87</v>
      </c>
      <c r="E11" s="642" t="s">
        <v>807</v>
      </c>
      <c r="F11" s="642" t="s">
        <v>564</v>
      </c>
      <c r="G11" s="402" t="s">
        <v>301</v>
      </c>
      <c r="H11" s="402" t="s">
        <v>388</v>
      </c>
      <c r="I11" s="738" t="s">
        <v>301</v>
      </c>
      <c r="J11" s="739" t="s">
        <v>388</v>
      </c>
      <c r="K11" s="2462"/>
      <c r="L11" s="595"/>
      <c r="X11" s="446">
        <v>23</v>
      </c>
    </row>
    <row r="12" spans="1:24" s="2245" customFormat="1" ht="10.5" customHeight="1">
      <c r="A12" s="878"/>
      <c r="D12" s="949" t="s">
        <v>108</v>
      </c>
      <c r="E12" s="949" t="s">
        <v>109</v>
      </c>
      <c r="F12" s="949" t="s">
        <v>89</v>
      </c>
      <c r="G12" s="950" t="str">
        <f>G1&amp;".1"</f>
        <v>4.1</v>
      </c>
      <c r="H12" s="950" t="str">
        <f>G1&amp;".2"</f>
        <v>4.2</v>
      </c>
      <c r="I12" s="950" t="str">
        <f>I1&amp;".1"</f>
        <v>4.1</v>
      </c>
      <c r="J12" s="950" t="str">
        <f>I1&amp;".2"</f>
        <v>4.2</v>
      </c>
      <c r="K12" s="950"/>
      <c r="X12" s="448">
        <v>10</v>
      </c>
    </row>
    <row r="13" spans="1:24" ht="22.5" hidden="1" customHeight="1">
      <c r="A13" s="2588" t="s">
        <v>808</v>
      </c>
      <c r="D13" s="879" t="s">
        <v>108</v>
      </c>
      <c r="E13" s="216" t="s">
        <v>809</v>
      </c>
      <c r="F13" s="597" t="s">
        <v>810</v>
      </c>
      <c r="G13" s="494"/>
      <c r="H13" s="598"/>
      <c r="I13" s="494"/>
      <c r="J13" s="598"/>
      <c r="K13" s="226" t="s">
        <v>811</v>
      </c>
      <c r="L13" s="657"/>
      <c r="X13" s="442">
        <v>0</v>
      </c>
    </row>
    <row r="14" spans="1:24" ht="22.5" hidden="1" customHeight="1">
      <c r="A14" s="2588"/>
      <c r="D14" s="476" t="s">
        <v>109</v>
      </c>
      <c r="E14" s="216" t="s">
        <v>812</v>
      </c>
      <c r="F14" s="597" t="s">
        <v>813</v>
      </c>
      <c r="G14" s="494"/>
      <c r="H14" s="599"/>
      <c r="I14" s="494"/>
      <c r="J14" s="599"/>
      <c r="K14" s="226" t="s">
        <v>814</v>
      </c>
      <c r="L14" s="657"/>
      <c r="X14" s="442">
        <v>0</v>
      </c>
    </row>
    <row r="15" spans="1:24" s="2238" customFormat="1" ht="78.75" hidden="1" customHeight="1">
      <c r="A15" s="2588"/>
      <c r="B15" s="448"/>
      <c r="D15" s="879" t="s">
        <v>89</v>
      </c>
      <c r="E15" s="644" t="s">
        <v>815</v>
      </c>
      <c r="F15" s="876" t="s">
        <v>304</v>
      </c>
      <c r="G15" s="876" t="s">
        <v>304</v>
      </c>
      <c r="H15" s="46"/>
      <c r="I15" s="876" t="s">
        <v>304</v>
      </c>
      <c r="J15" s="46"/>
      <c r="K15" s="226" t="s">
        <v>816</v>
      </c>
      <c r="L15" s="657"/>
      <c r="X15" s="693">
        <v>0</v>
      </c>
    </row>
    <row r="16" spans="1:24" s="2238" customFormat="1" ht="22.5" hidden="1" customHeight="1">
      <c r="A16" s="2588"/>
      <c r="B16" s="448"/>
      <c r="D16" s="879" t="s">
        <v>322</v>
      </c>
      <c r="E16" s="880" t="s">
        <v>817</v>
      </c>
      <c r="F16" s="876" t="s">
        <v>818</v>
      </c>
      <c r="G16" s="748"/>
      <c r="H16" s="46"/>
      <c r="I16" s="748"/>
      <c r="J16" s="46"/>
      <c r="K16" s="226"/>
      <c r="L16" s="657"/>
      <c r="X16" s="693">
        <v>0</v>
      </c>
    </row>
    <row r="17" spans="1:24" s="2238" customFormat="1" ht="22.5" hidden="1" customHeight="1">
      <c r="A17" s="2588"/>
      <c r="B17" s="448"/>
      <c r="D17" s="879" t="s">
        <v>330</v>
      </c>
      <c r="E17" s="880" t="s">
        <v>819</v>
      </c>
      <c r="F17" s="876" t="s">
        <v>820</v>
      </c>
      <c r="G17" s="748"/>
      <c r="H17" s="46"/>
      <c r="I17" s="748"/>
      <c r="J17" s="46"/>
      <c r="K17" s="226"/>
      <c r="L17" s="657"/>
      <c r="X17" s="693">
        <v>0</v>
      </c>
    </row>
    <row r="18" spans="1:24" s="2238" customFormat="1" ht="33.75" hidden="1" customHeight="1">
      <c r="A18" s="2588"/>
      <c r="B18" s="448"/>
      <c r="D18" s="879" t="s">
        <v>332</v>
      </c>
      <c r="E18" s="880" t="s">
        <v>821</v>
      </c>
      <c r="F18" s="876" t="s">
        <v>569</v>
      </c>
      <c r="G18" s="617"/>
      <c r="H18" s="46"/>
      <c r="I18" s="617"/>
      <c r="J18" s="46"/>
      <c r="K18" s="226"/>
      <c r="L18" s="657"/>
      <c r="X18" s="693">
        <v>0</v>
      </c>
    </row>
    <row r="19" spans="1:24" ht="101.25" hidden="1" customHeight="1">
      <c r="A19" s="2588"/>
      <c r="D19" s="879" t="s">
        <v>90</v>
      </c>
      <c r="E19" s="216" t="s">
        <v>822</v>
      </c>
      <c r="F19" s="597" t="s">
        <v>544</v>
      </c>
      <c r="G19" s="600"/>
      <c r="H19" s="599"/>
      <c r="I19" s="881"/>
      <c r="J19" s="599"/>
      <c r="K19" s="226" t="s">
        <v>823</v>
      </c>
      <c r="L19" s="657"/>
      <c r="X19" s="442">
        <v>0</v>
      </c>
    </row>
    <row r="20" spans="1:24" s="2238" customFormat="1" ht="18.75" hidden="1" customHeight="1">
      <c r="A20" s="2588"/>
      <c r="C20" s="882"/>
      <c r="D20" s="879" t="s">
        <v>754</v>
      </c>
      <c r="E20" s="880" t="s">
        <v>824</v>
      </c>
      <c r="F20" s="876" t="s">
        <v>304</v>
      </c>
      <c r="G20" s="876" t="s">
        <v>304</v>
      </c>
      <c r="H20" s="875" t="s">
        <v>304</v>
      </c>
      <c r="I20" s="876" t="s">
        <v>304</v>
      </c>
      <c r="J20" s="875" t="s">
        <v>304</v>
      </c>
      <c r="K20" s="874"/>
      <c r="L20" s="657"/>
      <c r="W20" s="612"/>
      <c r="X20" s="693">
        <v>0</v>
      </c>
    </row>
    <row r="21" spans="1:24" s="2238" customFormat="1" ht="33.75" hidden="1" customHeight="1">
      <c r="A21" s="2588"/>
      <c r="C21" s="882"/>
      <c r="D21" s="879" t="s">
        <v>757</v>
      </c>
      <c r="E21" s="513" t="s">
        <v>825</v>
      </c>
      <c r="F21" s="876" t="s">
        <v>826</v>
      </c>
      <c r="G21" s="617"/>
      <c r="H21" s="2217"/>
      <c r="I21" s="617"/>
      <c r="J21" s="2217"/>
      <c r="K21" s="874"/>
      <c r="L21" s="657"/>
      <c r="W21" s="612"/>
      <c r="X21" s="693">
        <v>0</v>
      </c>
    </row>
    <row r="22" spans="1:24" s="2238" customFormat="1" ht="33.75" hidden="1" customHeight="1">
      <c r="A22" s="2588"/>
      <c r="C22" s="882"/>
      <c r="D22" s="879" t="s">
        <v>760</v>
      </c>
      <c r="E22" s="513" t="s">
        <v>827</v>
      </c>
      <c r="F22" s="876" t="s">
        <v>828</v>
      </c>
      <c r="G22" s="617"/>
      <c r="H22" s="2217"/>
      <c r="I22" s="617"/>
      <c r="J22" s="2217"/>
      <c r="K22" s="874"/>
      <c r="L22" s="657"/>
      <c r="W22" s="612"/>
      <c r="X22" s="693">
        <v>0</v>
      </c>
    </row>
    <row r="23" spans="1:24" s="2238" customFormat="1" ht="22.5" hidden="1" customHeight="1">
      <c r="A23" s="2588"/>
      <c r="C23" s="882"/>
      <c r="D23" s="879" t="s">
        <v>796</v>
      </c>
      <c r="E23" s="880" t="s">
        <v>829</v>
      </c>
      <c r="F23" s="876" t="s">
        <v>304</v>
      </c>
      <c r="G23" s="876" t="s">
        <v>304</v>
      </c>
      <c r="H23" s="875" t="s">
        <v>304</v>
      </c>
      <c r="I23" s="876" t="s">
        <v>304</v>
      </c>
      <c r="J23" s="875" t="s">
        <v>304</v>
      </c>
      <c r="K23" s="874"/>
      <c r="L23" s="657"/>
      <c r="W23" s="612"/>
      <c r="X23" s="693">
        <v>0</v>
      </c>
    </row>
    <row r="24" spans="1:24" s="2238" customFormat="1" ht="22.5" hidden="1" customHeight="1">
      <c r="A24" s="2588"/>
      <c r="C24" s="882"/>
      <c r="D24" s="879" t="s">
        <v>830</v>
      </c>
      <c r="E24" s="513" t="s">
        <v>831</v>
      </c>
      <c r="F24" s="876" t="s">
        <v>832</v>
      </c>
      <c r="G24" s="617"/>
      <c r="H24" s="2218"/>
      <c r="I24" s="617"/>
      <c r="J24" s="2218"/>
      <c r="K24" s="874"/>
      <c r="L24" s="657"/>
      <c r="W24" s="612"/>
      <c r="X24" s="693">
        <v>0</v>
      </c>
    </row>
    <row r="25" spans="1:24" s="2238" customFormat="1" ht="22.5" hidden="1" customHeight="1">
      <c r="A25" s="2588"/>
      <c r="C25" s="882"/>
      <c r="D25" s="879" t="s">
        <v>833</v>
      </c>
      <c r="E25" s="513" t="s">
        <v>834</v>
      </c>
      <c r="F25" s="876" t="s">
        <v>304</v>
      </c>
      <c r="G25" s="876" t="s">
        <v>304</v>
      </c>
      <c r="H25" s="875" t="s">
        <v>304</v>
      </c>
      <c r="I25" s="876" t="s">
        <v>304</v>
      </c>
      <c r="J25" s="875" t="s">
        <v>304</v>
      </c>
      <c r="K25" s="874"/>
      <c r="L25" s="657"/>
      <c r="W25" s="612"/>
      <c r="X25" s="693">
        <v>0</v>
      </c>
    </row>
    <row r="26" spans="1:24" s="2238" customFormat="1" ht="18.75" hidden="1" customHeight="1">
      <c r="A26" s="2588"/>
      <c r="C26" s="882"/>
      <c r="D26" s="879" t="s">
        <v>835</v>
      </c>
      <c r="E26" s="490" t="s">
        <v>836</v>
      </c>
      <c r="F26" s="876" t="s">
        <v>837</v>
      </c>
      <c r="G26" s="617"/>
      <c r="H26" s="623"/>
      <c r="I26" s="617"/>
      <c r="J26" s="623"/>
      <c r="K26" s="874"/>
      <c r="L26" s="657"/>
      <c r="W26" s="612"/>
      <c r="X26" s="693">
        <v>0</v>
      </c>
    </row>
    <row r="27" spans="1:24" s="2238" customFormat="1" ht="18.75" hidden="1" customHeight="1">
      <c r="A27" s="2588"/>
      <c r="C27" s="882"/>
      <c r="D27" s="879" t="s">
        <v>838</v>
      </c>
      <c r="E27" s="490" t="s">
        <v>839</v>
      </c>
      <c r="F27" s="876" t="s">
        <v>840</v>
      </c>
      <c r="G27" s="617"/>
      <c r="H27" s="623"/>
      <c r="I27" s="617"/>
      <c r="J27" s="623"/>
      <c r="K27" s="874"/>
      <c r="L27" s="657"/>
      <c r="W27" s="612"/>
      <c r="X27" s="693">
        <v>0</v>
      </c>
    </row>
    <row r="28" spans="1:24" s="2238" customFormat="1" ht="18.75" hidden="1" customHeight="1">
      <c r="A28" s="2588"/>
      <c r="C28" s="882"/>
      <c r="D28" s="879" t="s">
        <v>841</v>
      </c>
      <c r="E28" s="513" t="s">
        <v>842</v>
      </c>
      <c r="F28" s="876" t="s">
        <v>304</v>
      </c>
      <c r="G28" s="876" t="s">
        <v>304</v>
      </c>
      <c r="H28" s="875" t="s">
        <v>304</v>
      </c>
      <c r="I28" s="876" t="s">
        <v>304</v>
      </c>
      <c r="J28" s="875" t="s">
        <v>304</v>
      </c>
      <c r="K28" s="874"/>
      <c r="L28" s="657"/>
      <c r="W28" s="612"/>
      <c r="X28" s="693">
        <v>0</v>
      </c>
    </row>
    <row r="29" spans="1:24" s="2238" customFormat="1" ht="18.75" hidden="1" customHeight="1">
      <c r="A29" s="2588"/>
      <c r="C29" s="882"/>
      <c r="D29" s="879" t="s">
        <v>843</v>
      </c>
      <c r="E29" s="490" t="s">
        <v>836</v>
      </c>
      <c r="F29" s="876" t="s">
        <v>844</v>
      </c>
      <c r="G29" s="617"/>
      <c r="H29" s="623"/>
      <c r="I29" s="617"/>
      <c r="J29" s="623"/>
      <c r="K29" s="874"/>
      <c r="L29" s="657"/>
      <c r="W29" s="612"/>
      <c r="X29" s="693">
        <v>0</v>
      </c>
    </row>
    <row r="30" spans="1:24" s="2238" customFormat="1" ht="18.75" hidden="1" customHeight="1">
      <c r="A30" s="2588"/>
      <c r="C30" s="882"/>
      <c r="D30" s="879" t="s">
        <v>845</v>
      </c>
      <c r="E30" s="490" t="s">
        <v>846</v>
      </c>
      <c r="F30" s="876" t="s">
        <v>847</v>
      </c>
      <c r="G30" s="617"/>
      <c r="H30" s="623"/>
      <c r="I30" s="617"/>
      <c r="J30" s="623"/>
      <c r="K30" s="874"/>
      <c r="L30" s="657"/>
      <c r="W30" s="612"/>
      <c r="X30" s="693">
        <v>0</v>
      </c>
    </row>
    <row r="31" spans="1:24" ht="126.75" hidden="1" customHeight="1">
      <c r="A31" s="2588"/>
      <c r="D31" s="879" t="s">
        <v>110</v>
      </c>
      <c r="E31" s="216" t="s">
        <v>848</v>
      </c>
      <c r="F31" s="597" t="s">
        <v>556</v>
      </c>
      <c r="G31" s="494"/>
      <c r="H31" s="599"/>
      <c r="I31" s="494"/>
      <c r="J31" s="599"/>
      <c r="K31" s="226" t="s">
        <v>849</v>
      </c>
      <c r="L31" s="657"/>
      <c r="X31" s="442">
        <v>0</v>
      </c>
    </row>
    <row r="32" spans="1:24" ht="56.25" hidden="1" customHeight="1">
      <c r="A32" s="2588"/>
      <c r="D32" s="879" t="s">
        <v>91</v>
      </c>
      <c r="E32" s="216" t="s">
        <v>850</v>
      </c>
      <c r="F32" s="476" t="s">
        <v>820</v>
      </c>
      <c r="G32" s="494"/>
      <c r="H32" s="599"/>
      <c r="I32" s="494"/>
      <c r="J32" s="599"/>
      <c r="K32" s="226" t="s">
        <v>851</v>
      </c>
      <c r="L32" s="657"/>
      <c r="X32" s="442">
        <v>0</v>
      </c>
    </row>
    <row r="33" spans="1:24" ht="11.25" hidden="1" customHeight="1">
      <c r="A33" s="2588"/>
      <c r="E33" s="601"/>
      <c r="F33" s="118"/>
      <c r="G33" s="118"/>
      <c r="H33" s="118"/>
      <c r="I33" s="118"/>
      <c r="J33" s="118"/>
      <c r="K33" s="118"/>
      <c r="X33" s="442">
        <v>0</v>
      </c>
    </row>
    <row r="34" spans="1:24" ht="12.75" hidden="1" customHeight="1">
      <c r="A34" s="2588"/>
      <c r="D34" s="5">
        <v>1</v>
      </c>
      <c r="E34" s="272" t="s">
        <v>852</v>
      </c>
      <c r="X34" s="442">
        <v>0</v>
      </c>
    </row>
    <row r="35" spans="1:24" ht="11.25" hidden="1" customHeight="1">
      <c r="A35" s="2588"/>
      <c r="D35" s="306"/>
      <c r="E35" s="272" t="s">
        <v>853</v>
      </c>
      <c r="X35" s="442">
        <v>0</v>
      </c>
    </row>
    <row r="36" spans="1:24" s="2238" customFormat="1" ht="11.45" customHeight="1">
      <c r="A36" s="957"/>
      <c r="B36" s="455"/>
      <c r="D36" s="958"/>
      <c r="E36" s="959"/>
      <c r="X36" s="446">
        <v>11</v>
      </c>
    </row>
    <row r="37" spans="1:24" s="2238" customFormat="1" ht="22.5" hidden="1" customHeight="1">
      <c r="A37" s="2588" t="s">
        <v>854</v>
      </c>
      <c r="B37" s="448"/>
      <c r="D37" s="879">
        <v>1</v>
      </c>
      <c r="E37" s="644" t="s">
        <v>855</v>
      </c>
      <c r="F37" s="597" t="s">
        <v>810</v>
      </c>
      <c r="G37" s="494"/>
      <c r="H37" s="456"/>
      <c r="I37" s="494"/>
      <c r="J37" s="456"/>
      <c r="K37" s="226" t="s">
        <v>856</v>
      </c>
      <c r="X37" s="693">
        <v>0</v>
      </c>
    </row>
    <row r="38" spans="1:24" s="2238" customFormat="1" ht="22.5" hidden="1" customHeight="1">
      <c r="A38" s="2588"/>
      <c r="B38" s="448"/>
      <c r="D38" s="606" t="s">
        <v>109</v>
      </c>
      <c r="E38" s="956" t="s">
        <v>857</v>
      </c>
      <c r="F38" s="960" t="s">
        <v>544</v>
      </c>
      <c r="G38" s="960" t="s">
        <v>544</v>
      </c>
      <c r="H38" s="954"/>
      <c r="I38" s="960" t="s">
        <v>544</v>
      </c>
      <c r="J38" s="954"/>
      <c r="K38" s="955"/>
      <c r="X38" s="693">
        <v>0</v>
      </c>
    </row>
    <row r="39" spans="1:24" s="2238" customFormat="1" ht="33.75" hidden="1" customHeight="1">
      <c r="A39" s="2588"/>
      <c r="B39" s="448"/>
      <c r="D39" s="602" t="s">
        <v>712</v>
      </c>
      <c r="E39" s="660" t="s">
        <v>858</v>
      </c>
      <c r="F39" s="597" t="s">
        <v>859</v>
      </c>
      <c r="G39" s="605"/>
      <c r="H39" s="947"/>
      <c r="I39" s="605"/>
      <c r="J39" s="947"/>
      <c r="K39" s="226" t="s">
        <v>860</v>
      </c>
      <c r="X39" s="693">
        <v>0</v>
      </c>
    </row>
    <row r="40" spans="1:24" s="2238" customFormat="1" ht="33.75" hidden="1" customHeight="1">
      <c r="A40" s="2588"/>
      <c r="B40" s="448"/>
      <c r="D40" s="602" t="s">
        <v>715</v>
      </c>
      <c r="E40" s="660" t="s">
        <v>861</v>
      </c>
      <c r="F40" s="951" t="s">
        <v>862</v>
      </c>
      <c r="G40" s="678"/>
      <c r="H40" s="947"/>
      <c r="I40" s="678"/>
      <c r="J40" s="947"/>
      <c r="K40" s="226" t="s">
        <v>863</v>
      </c>
      <c r="X40" s="693">
        <v>0</v>
      </c>
    </row>
    <row r="41" spans="1:24" s="2238" customFormat="1" ht="22.5" hidden="1" customHeight="1">
      <c r="A41" s="2588"/>
      <c r="B41" s="448"/>
      <c r="D41" s="602" t="s">
        <v>89</v>
      </c>
      <c r="E41" s="659" t="s">
        <v>864</v>
      </c>
      <c r="F41" s="597" t="s">
        <v>544</v>
      </c>
      <c r="G41" s="597" t="s">
        <v>544</v>
      </c>
      <c r="H41" s="948"/>
      <c r="I41" s="597" t="s">
        <v>544</v>
      </c>
      <c r="J41" s="948"/>
      <c r="K41" s="239"/>
      <c r="X41" s="693">
        <v>0</v>
      </c>
    </row>
    <row r="42" spans="1:24" s="2238" customFormat="1" ht="45" hidden="1" customHeight="1">
      <c r="A42" s="2588"/>
      <c r="B42" s="448"/>
      <c r="D42" s="602" t="s">
        <v>322</v>
      </c>
      <c r="E42" s="660" t="s">
        <v>865</v>
      </c>
      <c r="F42" s="597" t="s">
        <v>556</v>
      </c>
      <c r="G42" s="494"/>
      <c r="H42" s="948"/>
      <c r="I42" s="494"/>
      <c r="J42" s="948"/>
      <c r="K42" s="239" t="s">
        <v>866</v>
      </c>
      <c r="X42" s="693">
        <v>0</v>
      </c>
    </row>
    <row r="43" spans="1:24" s="2238" customFormat="1" ht="45" hidden="1" customHeight="1">
      <c r="A43" s="2588"/>
      <c r="B43" s="448"/>
      <c r="D43" s="602" t="s">
        <v>330</v>
      </c>
      <c r="E43" s="604" t="s">
        <v>867</v>
      </c>
      <c r="F43" s="952" t="s">
        <v>556</v>
      </c>
      <c r="G43" s="679"/>
      <c r="H43" s="947"/>
      <c r="I43" s="679"/>
      <c r="J43" s="947"/>
      <c r="K43" s="239" t="s">
        <v>868</v>
      </c>
      <c r="X43" s="693">
        <v>0</v>
      </c>
    </row>
    <row r="44" spans="1:24" s="2238" customFormat="1" ht="11.25" hidden="1" customHeight="1">
      <c r="A44" s="2588"/>
      <c r="B44" s="448"/>
      <c r="D44" s="602" t="s">
        <v>90</v>
      </c>
      <c r="E44" s="603" t="s">
        <v>869</v>
      </c>
      <c r="F44" s="597" t="s">
        <v>859</v>
      </c>
      <c r="G44" s="605"/>
      <c r="H44" s="947"/>
      <c r="I44" s="605"/>
      <c r="J44" s="947"/>
      <c r="K44" s="226"/>
      <c r="X44" s="693">
        <v>0</v>
      </c>
    </row>
    <row r="45" spans="1:24" s="2238" customFormat="1" ht="11.25" hidden="1" customHeight="1">
      <c r="A45" s="2588"/>
      <c r="B45" s="448"/>
      <c r="D45" s="602" t="s">
        <v>754</v>
      </c>
      <c r="E45" s="604" t="s">
        <v>870</v>
      </c>
      <c r="F45" s="597" t="s">
        <v>859</v>
      </c>
      <c r="G45" s="605"/>
      <c r="H45" s="947"/>
      <c r="I45" s="605"/>
      <c r="J45" s="947"/>
      <c r="K45" s="226"/>
      <c r="X45" s="693">
        <v>0</v>
      </c>
    </row>
    <row r="46" spans="1:24" s="2238" customFormat="1" ht="11.25" hidden="1" customHeight="1">
      <c r="A46" s="2588"/>
      <c r="B46" s="448"/>
      <c r="D46" s="602" t="s">
        <v>796</v>
      </c>
      <c r="E46" s="604" t="s">
        <v>871</v>
      </c>
      <c r="F46" s="597" t="s">
        <v>859</v>
      </c>
      <c r="G46" s="605"/>
      <c r="H46" s="947"/>
      <c r="I46" s="605"/>
      <c r="J46" s="947"/>
      <c r="K46" s="226"/>
      <c r="X46" s="693">
        <v>0</v>
      </c>
    </row>
    <row r="47" spans="1:24" s="2238" customFormat="1" ht="11.25" hidden="1" customHeight="1">
      <c r="A47" s="2588"/>
      <c r="B47" s="448"/>
      <c r="D47" s="602" t="s">
        <v>799</v>
      </c>
      <c r="E47" s="604" t="s">
        <v>872</v>
      </c>
      <c r="F47" s="597" t="s">
        <v>859</v>
      </c>
      <c r="G47" s="605"/>
      <c r="H47" s="947"/>
      <c r="I47" s="605"/>
      <c r="J47" s="947"/>
      <c r="K47" s="226"/>
      <c r="X47" s="693">
        <v>0</v>
      </c>
    </row>
    <row r="48" spans="1:24" s="2238" customFormat="1" ht="11.25" hidden="1" customHeight="1">
      <c r="A48" s="2588"/>
      <c r="B48" s="448"/>
      <c r="D48" s="602" t="s">
        <v>873</v>
      </c>
      <c r="E48" s="608" t="s">
        <v>874</v>
      </c>
      <c r="F48" s="597" t="s">
        <v>859</v>
      </c>
      <c r="G48" s="605"/>
      <c r="H48" s="947"/>
      <c r="I48" s="605"/>
      <c r="J48" s="947"/>
      <c r="K48" s="226"/>
      <c r="X48" s="693">
        <v>0</v>
      </c>
    </row>
    <row r="49" spans="1:24" s="2238" customFormat="1" ht="11.25" hidden="1" customHeight="1">
      <c r="A49" s="2588"/>
      <c r="B49" s="448"/>
      <c r="D49" s="602" t="s">
        <v>875</v>
      </c>
      <c r="E49" s="608" t="s">
        <v>876</v>
      </c>
      <c r="F49" s="597" t="s">
        <v>859</v>
      </c>
      <c r="G49" s="605"/>
      <c r="H49" s="947"/>
      <c r="I49" s="605"/>
      <c r="J49" s="947"/>
      <c r="K49" s="226"/>
      <c r="X49" s="693">
        <v>0</v>
      </c>
    </row>
    <row r="50" spans="1:24" s="2238" customFormat="1" ht="11.25" hidden="1" customHeight="1">
      <c r="A50" s="2588"/>
      <c r="B50" s="448"/>
      <c r="D50" s="602" t="s">
        <v>877</v>
      </c>
      <c r="E50" s="604" t="s">
        <v>878</v>
      </c>
      <c r="F50" s="597" t="s">
        <v>859</v>
      </c>
      <c r="G50" s="605"/>
      <c r="H50" s="947"/>
      <c r="I50" s="605"/>
      <c r="J50" s="947"/>
      <c r="K50" s="226"/>
      <c r="X50" s="693">
        <v>0</v>
      </c>
    </row>
    <row r="51" spans="1:24" s="2238" customFormat="1" ht="11.25" hidden="1" customHeight="1">
      <c r="A51" s="2588"/>
      <c r="B51" s="448"/>
      <c r="D51" s="602" t="s">
        <v>879</v>
      </c>
      <c r="E51" s="604" t="s">
        <v>880</v>
      </c>
      <c r="F51" s="597" t="s">
        <v>859</v>
      </c>
      <c r="G51" s="605"/>
      <c r="H51" s="947"/>
      <c r="I51" s="605"/>
      <c r="J51" s="947"/>
      <c r="K51" s="226"/>
      <c r="X51" s="693">
        <v>0</v>
      </c>
    </row>
    <row r="52" spans="1:24" s="2238" customFormat="1" ht="45" hidden="1" customHeight="1">
      <c r="A52" s="2588"/>
      <c r="B52" s="448"/>
      <c r="D52" s="602" t="s">
        <v>110</v>
      </c>
      <c r="E52" s="603" t="s">
        <v>881</v>
      </c>
      <c r="F52" s="597" t="s">
        <v>859</v>
      </c>
      <c r="G52" s="605"/>
      <c r="H52" s="947"/>
      <c r="I52" s="605"/>
      <c r="J52" s="947"/>
      <c r="K52" s="226"/>
      <c r="X52" s="693">
        <v>0</v>
      </c>
    </row>
    <row r="53" spans="1:24" s="2238" customFormat="1" ht="11.25" hidden="1" customHeight="1">
      <c r="A53" s="2588"/>
      <c r="B53" s="448"/>
      <c r="D53" s="602" t="s">
        <v>311</v>
      </c>
      <c r="E53" s="604" t="s">
        <v>870</v>
      </c>
      <c r="F53" s="597" t="s">
        <v>859</v>
      </c>
      <c r="G53" s="605"/>
      <c r="H53" s="947"/>
      <c r="I53" s="605"/>
      <c r="J53" s="947"/>
      <c r="K53" s="226"/>
      <c r="X53" s="693">
        <v>0</v>
      </c>
    </row>
    <row r="54" spans="1:24" s="2238" customFormat="1" ht="11.25" hidden="1" customHeight="1">
      <c r="A54" s="2588"/>
      <c r="B54" s="448"/>
      <c r="D54" s="602" t="s">
        <v>882</v>
      </c>
      <c r="E54" s="604" t="s">
        <v>871</v>
      </c>
      <c r="F54" s="597" t="s">
        <v>859</v>
      </c>
      <c r="G54" s="605"/>
      <c r="H54" s="947"/>
      <c r="I54" s="605"/>
      <c r="J54" s="947"/>
      <c r="K54" s="226"/>
      <c r="X54" s="693">
        <v>0</v>
      </c>
    </row>
    <row r="55" spans="1:24" s="2238" customFormat="1" ht="11.25" hidden="1" customHeight="1">
      <c r="A55" s="2588"/>
      <c r="B55" s="448"/>
      <c r="D55" s="602" t="s">
        <v>883</v>
      </c>
      <c r="E55" s="604" t="s">
        <v>872</v>
      </c>
      <c r="F55" s="597" t="s">
        <v>859</v>
      </c>
      <c r="G55" s="605"/>
      <c r="H55" s="947"/>
      <c r="I55" s="605"/>
      <c r="J55" s="947"/>
      <c r="K55" s="226"/>
      <c r="X55" s="693">
        <v>0</v>
      </c>
    </row>
    <row r="56" spans="1:24" s="2238" customFormat="1" ht="11.25" hidden="1" customHeight="1">
      <c r="A56" s="2588"/>
      <c r="B56" s="448"/>
      <c r="D56" s="602" t="s">
        <v>884</v>
      </c>
      <c r="E56" s="608" t="s">
        <v>874</v>
      </c>
      <c r="F56" s="597" t="s">
        <v>859</v>
      </c>
      <c r="G56" s="605"/>
      <c r="H56" s="947"/>
      <c r="I56" s="605"/>
      <c r="J56" s="947"/>
      <c r="K56" s="226"/>
      <c r="X56" s="693">
        <v>0</v>
      </c>
    </row>
    <row r="57" spans="1:24" s="2238" customFormat="1" ht="11.25" hidden="1" customHeight="1">
      <c r="A57" s="2588"/>
      <c r="B57" s="448"/>
      <c r="D57" s="602" t="s">
        <v>885</v>
      </c>
      <c r="E57" s="608" t="s">
        <v>876</v>
      </c>
      <c r="F57" s="597" t="s">
        <v>859</v>
      </c>
      <c r="G57" s="605"/>
      <c r="H57" s="947"/>
      <c r="I57" s="605"/>
      <c r="J57" s="947"/>
      <c r="K57" s="226"/>
      <c r="X57" s="693">
        <v>0</v>
      </c>
    </row>
    <row r="58" spans="1:24" s="2238" customFormat="1" ht="11.25" hidden="1" customHeight="1">
      <c r="A58" s="2588"/>
      <c r="B58" s="448"/>
      <c r="D58" s="602" t="s">
        <v>886</v>
      </c>
      <c r="E58" s="604" t="s">
        <v>878</v>
      </c>
      <c r="F58" s="597" t="s">
        <v>859</v>
      </c>
      <c r="G58" s="605"/>
      <c r="H58" s="947"/>
      <c r="I58" s="605"/>
      <c r="J58" s="947"/>
      <c r="K58" s="226"/>
      <c r="X58" s="693">
        <v>0</v>
      </c>
    </row>
    <row r="59" spans="1:24" s="2238" customFormat="1" ht="11.25" hidden="1" customHeight="1">
      <c r="A59" s="2588"/>
      <c r="B59" s="448"/>
      <c r="D59" s="602" t="s">
        <v>887</v>
      </c>
      <c r="E59" s="604" t="s">
        <v>880</v>
      </c>
      <c r="F59" s="597" t="s">
        <v>859</v>
      </c>
      <c r="G59" s="605"/>
      <c r="H59" s="947"/>
      <c r="I59" s="605"/>
      <c r="J59" s="947"/>
      <c r="K59" s="226"/>
      <c r="X59" s="693">
        <v>0</v>
      </c>
    </row>
    <row r="60" spans="1:24" s="2238" customFormat="1" ht="33.75" hidden="1" customHeight="1">
      <c r="A60" s="2588"/>
      <c r="B60" s="448"/>
      <c r="D60" s="602" t="s">
        <v>91</v>
      </c>
      <c r="E60" s="603" t="s">
        <v>888</v>
      </c>
      <c r="F60" s="658" t="s">
        <v>556</v>
      </c>
      <c r="G60" s="679"/>
      <c r="H60" s="947"/>
      <c r="I60" s="679"/>
      <c r="J60" s="947"/>
      <c r="K60" s="239" t="s">
        <v>889</v>
      </c>
      <c r="X60" s="693">
        <v>0</v>
      </c>
    </row>
    <row r="61" spans="1:24" s="2238" customFormat="1" ht="33.75" hidden="1" customHeight="1">
      <c r="A61" s="2588"/>
      <c r="B61" s="448"/>
      <c r="D61" s="602" t="s">
        <v>92</v>
      </c>
      <c r="E61" s="603" t="s">
        <v>890</v>
      </c>
      <c r="F61" s="663" t="s">
        <v>820</v>
      </c>
      <c r="G61" s="605"/>
      <c r="H61" s="947"/>
      <c r="I61" s="605"/>
      <c r="J61" s="947"/>
      <c r="K61" s="226"/>
      <c r="X61" s="693">
        <v>0</v>
      </c>
    </row>
    <row r="62" spans="1:24" s="2238" customFormat="1" ht="22.5" hidden="1" customHeight="1">
      <c r="A62" s="2588"/>
      <c r="B62" s="448" t="s">
        <v>589</v>
      </c>
      <c r="D62" s="602" t="s">
        <v>111</v>
      </c>
      <c r="E62" s="603" t="s">
        <v>891</v>
      </c>
      <c r="F62" s="663" t="s">
        <v>304</v>
      </c>
      <c r="G62" s="319"/>
      <c r="H62" s="947"/>
      <c r="I62" s="319"/>
      <c r="J62" s="947"/>
      <c r="K62" s="226" t="s">
        <v>632</v>
      </c>
      <c r="X62" s="693">
        <v>0</v>
      </c>
    </row>
    <row r="63" spans="1:24" s="2238" customFormat="1" ht="45" hidden="1" customHeight="1">
      <c r="A63" s="2588"/>
      <c r="B63" s="448" t="s">
        <v>589</v>
      </c>
      <c r="D63" s="602" t="s">
        <v>892</v>
      </c>
      <c r="E63" s="604" t="s">
        <v>893</v>
      </c>
      <c r="F63" s="658" t="s">
        <v>304</v>
      </c>
      <c r="G63" s="319"/>
      <c r="H63" s="947"/>
      <c r="I63" s="319"/>
      <c r="J63" s="947"/>
      <c r="K63" s="226" t="s">
        <v>632</v>
      </c>
      <c r="X63" s="693">
        <v>0</v>
      </c>
    </row>
    <row r="64" spans="1:24" s="2238" customFormat="1" ht="11.45" customHeight="1">
      <c r="A64" s="957"/>
      <c r="B64" s="455"/>
      <c r="D64" s="958"/>
      <c r="E64" s="959"/>
      <c r="X64" s="446">
        <v>11</v>
      </c>
    </row>
    <row r="65" spans="1:24" s="2238" customFormat="1" ht="22.5" hidden="1" customHeight="1">
      <c r="A65" s="2588" t="s">
        <v>894</v>
      </c>
      <c r="B65" s="448"/>
      <c r="D65" s="602">
        <v>1</v>
      </c>
      <c r="E65" s="681" t="s">
        <v>895</v>
      </c>
      <c r="F65" s="677" t="s">
        <v>810</v>
      </c>
      <c r="G65" s="678"/>
      <c r="H65" s="953"/>
      <c r="I65" s="678"/>
      <c r="J65" s="953"/>
      <c r="K65" s="238" t="s">
        <v>896</v>
      </c>
      <c r="X65" s="693">
        <v>0</v>
      </c>
    </row>
    <row r="66" spans="1:24" s="2238" customFormat="1" ht="56.25" hidden="1" customHeight="1">
      <c r="A66" s="2588"/>
      <c r="B66" s="448"/>
      <c r="D66" s="680" t="s">
        <v>109</v>
      </c>
      <c r="E66" s="644" t="s">
        <v>897</v>
      </c>
      <c r="F66" s="597" t="s">
        <v>544</v>
      </c>
      <c r="G66" s="597" t="s">
        <v>544</v>
      </c>
      <c r="H66" s="456"/>
      <c r="I66" s="597" t="s">
        <v>544</v>
      </c>
      <c r="J66" s="456"/>
      <c r="K66" s="226"/>
      <c r="X66" s="693">
        <v>0</v>
      </c>
    </row>
    <row r="67" spans="1:24" s="2238" customFormat="1" ht="33.75" hidden="1" customHeight="1">
      <c r="A67" s="2588"/>
      <c r="B67" s="448"/>
      <c r="D67" s="680" t="s">
        <v>709</v>
      </c>
      <c r="E67" s="880" t="s">
        <v>898</v>
      </c>
      <c r="F67" s="597" t="s">
        <v>862</v>
      </c>
      <c r="G67" s="664"/>
      <c r="H67" s="456"/>
      <c r="I67" s="664"/>
      <c r="J67" s="456"/>
      <c r="K67" s="226"/>
      <c r="X67" s="693">
        <v>0</v>
      </c>
    </row>
    <row r="68" spans="1:24" s="2238" customFormat="1" ht="22.5" hidden="1" customHeight="1">
      <c r="A68" s="2588"/>
      <c r="B68" s="448"/>
      <c r="D68" s="680" t="s">
        <v>305</v>
      </c>
      <c r="E68" s="880" t="s">
        <v>899</v>
      </c>
      <c r="F68" s="597" t="s">
        <v>862</v>
      </c>
      <c r="G68" s="664"/>
      <c r="H68" s="456"/>
      <c r="I68" s="664"/>
      <c r="J68" s="456"/>
      <c r="K68" s="226"/>
      <c r="X68" s="693">
        <v>0</v>
      </c>
    </row>
    <row r="69" spans="1:24" s="2238" customFormat="1" ht="22.5" hidden="1" customHeight="1">
      <c r="A69" s="2588"/>
      <c r="B69" s="448"/>
      <c r="D69" s="680" t="s">
        <v>308</v>
      </c>
      <c r="E69" s="880" t="s">
        <v>900</v>
      </c>
      <c r="F69" s="658" t="s">
        <v>556</v>
      </c>
      <c r="G69" s="679"/>
      <c r="H69" s="456"/>
      <c r="I69" s="679"/>
      <c r="J69" s="456"/>
      <c r="K69" s="226"/>
      <c r="X69" s="693">
        <v>0</v>
      </c>
    </row>
    <row r="70" spans="1:24" s="2238" customFormat="1" ht="22.5" hidden="1" customHeight="1">
      <c r="A70" s="2588"/>
      <c r="B70" s="448"/>
      <c r="D70" s="680" t="s">
        <v>729</v>
      </c>
      <c r="E70" s="880" t="s">
        <v>901</v>
      </c>
      <c r="F70" s="658" t="s">
        <v>556</v>
      </c>
      <c r="G70" s="679"/>
      <c r="H70" s="456"/>
      <c r="I70" s="679"/>
      <c r="J70" s="456"/>
      <c r="K70" s="226"/>
      <c r="X70" s="693">
        <v>0</v>
      </c>
    </row>
    <row r="71" spans="1:24" s="2238" customFormat="1" ht="22.5" hidden="1" customHeight="1">
      <c r="A71" s="2588"/>
      <c r="B71" s="448"/>
      <c r="D71" s="602" t="s">
        <v>89</v>
      </c>
      <c r="E71" s="603" t="s">
        <v>902</v>
      </c>
      <c r="F71" s="597" t="s">
        <v>862</v>
      </c>
      <c r="G71" s="494"/>
      <c r="H71" s="954"/>
      <c r="I71" s="494"/>
      <c r="J71" s="954"/>
      <c r="K71" s="239"/>
      <c r="X71" s="693">
        <v>0</v>
      </c>
    </row>
    <row r="72" spans="1:24" s="2238" customFormat="1" ht="56.25" hidden="1" customHeight="1">
      <c r="A72" s="2588"/>
      <c r="B72" s="448"/>
      <c r="D72" s="602" t="s">
        <v>90</v>
      </c>
      <c r="E72" s="603" t="s">
        <v>903</v>
      </c>
      <c r="F72" s="658" t="s">
        <v>556</v>
      </c>
      <c r="G72" s="679"/>
      <c r="H72" s="947"/>
      <c r="I72" s="679"/>
      <c r="J72" s="947"/>
      <c r="K72" s="239"/>
      <c r="X72" s="693">
        <v>0</v>
      </c>
    </row>
    <row r="73" spans="1:24" s="2238" customFormat="1" ht="33.75" hidden="1" customHeight="1">
      <c r="A73" s="2588"/>
      <c r="B73" s="448"/>
      <c r="D73" s="602" t="s">
        <v>110</v>
      </c>
      <c r="E73" s="603" t="s">
        <v>904</v>
      </c>
      <c r="F73" s="663" t="s">
        <v>820</v>
      </c>
      <c r="G73" s="605"/>
      <c r="H73" s="947"/>
      <c r="I73" s="605"/>
      <c r="J73" s="947"/>
      <c r="K73" s="226"/>
      <c r="X73" s="693">
        <v>0</v>
      </c>
    </row>
    <row r="74" spans="1:24" s="2238" customFormat="1" ht="22.5" hidden="1" customHeight="1">
      <c r="A74" s="2588"/>
      <c r="B74" s="448" t="s">
        <v>589</v>
      </c>
      <c r="D74" s="602" t="s">
        <v>91</v>
      </c>
      <c r="E74" s="603" t="s">
        <v>905</v>
      </c>
      <c r="F74" s="663" t="s">
        <v>304</v>
      </c>
      <c r="G74" s="319"/>
      <c r="H74" s="947"/>
      <c r="I74" s="319"/>
      <c r="J74" s="947"/>
      <c r="K74" s="226" t="s">
        <v>632</v>
      </c>
      <c r="X74" s="693">
        <v>0</v>
      </c>
    </row>
    <row r="75" spans="1:24" s="2238" customFormat="1" ht="45" hidden="1" customHeight="1">
      <c r="A75" s="2588"/>
      <c r="B75" s="448" t="s">
        <v>589</v>
      </c>
      <c r="D75" s="602" t="s">
        <v>653</v>
      </c>
      <c r="E75" s="604" t="s">
        <v>906</v>
      </c>
      <c r="F75" s="658" t="s">
        <v>304</v>
      </c>
      <c r="G75" s="319"/>
      <c r="H75" s="947"/>
      <c r="I75" s="319"/>
      <c r="J75" s="947"/>
      <c r="K75" s="226" t="s">
        <v>632</v>
      </c>
      <c r="X75" s="693">
        <v>0</v>
      </c>
    </row>
    <row r="76" spans="1:24" s="2238" customFormat="1" ht="11.45" customHeight="1">
      <c r="A76" s="957"/>
      <c r="B76" s="455"/>
      <c r="D76" s="958"/>
      <c r="E76" s="959"/>
      <c r="X76" s="446">
        <v>11</v>
      </c>
    </row>
    <row r="77" spans="1:24" s="2238" customFormat="1" ht="11.25" customHeight="1">
      <c r="A77" s="2588" t="s">
        <v>907</v>
      </c>
      <c r="B77" s="448"/>
      <c r="D77" s="602">
        <v>1</v>
      </c>
      <c r="E77" s="603" t="s">
        <v>908</v>
      </c>
      <c r="F77" s="658" t="s">
        <v>810</v>
      </c>
      <c r="G77" s="661"/>
      <c r="H77" s="947"/>
      <c r="I77" s="661">
        <v>0.03</v>
      </c>
      <c r="J77" s="947"/>
      <c r="K77" s="226" t="s">
        <v>909</v>
      </c>
      <c r="X77" s="693">
        <v>0</v>
      </c>
    </row>
    <row r="78" spans="1:24" s="2238" customFormat="1" ht="11.25" customHeight="1">
      <c r="A78" s="2588"/>
      <c r="B78" s="448"/>
      <c r="D78" s="602" t="s">
        <v>109</v>
      </c>
      <c r="E78" s="603" t="s">
        <v>910</v>
      </c>
      <c r="F78" s="658" t="s">
        <v>810</v>
      </c>
      <c r="G78" s="661"/>
      <c r="H78" s="947"/>
      <c r="I78" s="661">
        <v>4.2300000000000004</v>
      </c>
      <c r="J78" s="947"/>
      <c r="K78" s="226" t="s">
        <v>911</v>
      </c>
      <c r="X78" s="693">
        <v>0</v>
      </c>
    </row>
    <row r="79" spans="1:24" s="2238" customFormat="1" ht="22.5" customHeight="1">
      <c r="A79" s="2588"/>
      <c r="B79" s="448"/>
      <c r="D79" s="602" t="s">
        <v>89</v>
      </c>
      <c r="E79" s="659" t="s">
        <v>912</v>
      </c>
      <c r="F79" s="597" t="s">
        <v>859</v>
      </c>
      <c r="G79" s="661"/>
      <c r="H79" s="947"/>
      <c r="I79" s="661">
        <v>477</v>
      </c>
      <c r="J79" s="947"/>
      <c r="K79" s="226" t="s">
        <v>913</v>
      </c>
      <c r="X79" s="693">
        <v>0</v>
      </c>
    </row>
    <row r="80" spans="1:24" s="2238" customFormat="1" ht="11.25" customHeight="1">
      <c r="A80" s="2588"/>
      <c r="B80" s="448"/>
      <c r="D80" s="602" t="s">
        <v>322</v>
      </c>
      <c r="E80" s="660" t="s">
        <v>914</v>
      </c>
      <c r="F80" s="597" t="s">
        <v>859</v>
      </c>
      <c r="G80" s="661"/>
      <c r="H80" s="947"/>
      <c r="I80" s="661">
        <v>247</v>
      </c>
      <c r="J80" s="947"/>
      <c r="K80" s="226"/>
      <c r="X80" s="693">
        <v>0</v>
      </c>
    </row>
    <row r="81" spans="1:24" s="2238" customFormat="1" ht="11.25" customHeight="1">
      <c r="A81" s="2588"/>
      <c r="B81" s="448"/>
      <c r="D81" s="602" t="s">
        <v>330</v>
      </c>
      <c r="E81" s="660" t="s">
        <v>915</v>
      </c>
      <c r="F81" s="597" t="s">
        <v>859</v>
      </c>
      <c r="G81" s="661"/>
      <c r="H81" s="947"/>
      <c r="I81" s="661">
        <v>36</v>
      </c>
      <c r="J81" s="947"/>
      <c r="K81" s="226"/>
      <c r="X81" s="693">
        <v>0</v>
      </c>
    </row>
    <row r="82" spans="1:24" s="2238" customFormat="1" ht="11.25" customHeight="1">
      <c r="A82" s="2588"/>
      <c r="B82" s="448"/>
      <c r="D82" s="602" t="s">
        <v>332</v>
      </c>
      <c r="E82" s="660" t="s">
        <v>916</v>
      </c>
      <c r="F82" s="597" t="s">
        <v>859</v>
      </c>
      <c r="G82" s="661"/>
      <c r="H82" s="947"/>
      <c r="I82" s="661">
        <v>36</v>
      </c>
      <c r="J82" s="947"/>
      <c r="K82" s="226"/>
      <c r="X82" s="693">
        <v>0</v>
      </c>
    </row>
    <row r="83" spans="1:24" s="2238" customFormat="1" ht="11.25" customHeight="1">
      <c r="A83" s="2588"/>
      <c r="B83" s="448"/>
      <c r="D83" s="602" t="s">
        <v>334</v>
      </c>
      <c r="E83" s="660" t="s">
        <v>917</v>
      </c>
      <c r="F83" s="597" t="s">
        <v>859</v>
      </c>
      <c r="G83" s="661"/>
      <c r="H83" s="947"/>
      <c r="I83" s="661">
        <v>36</v>
      </c>
      <c r="J83" s="947"/>
      <c r="K83" s="226"/>
      <c r="X83" s="693">
        <v>0</v>
      </c>
    </row>
    <row r="84" spans="1:24" s="2238" customFormat="1" ht="11.25" customHeight="1">
      <c r="A84" s="2588"/>
      <c r="B84" s="448"/>
      <c r="D84" s="602" t="s">
        <v>918</v>
      </c>
      <c r="E84" s="660" t="s">
        <v>919</v>
      </c>
      <c r="F84" s="597" t="s">
        <v>859</v>
      </c>
      <c r="G84" s="661"/>
      <c r="H84" s="947"/>
      <c r="I84" s="661">
        <v>36</v>
      </c>
      <c r="J84" s="947"/>
      <c r="K84" s="226"/>
      <c r="X84" s="693">
        <v>0</v>
      </c>
    </row>
    <row r="85" spans="1:24" s="2238" customFormat="1" ht="11.25" customHeight="1">
      <c r="A85" s="2588"/>
      <c r="B85" s="448"/>
      <c r="D85" s="602" t="s">
        <v>920</v>
      </c>
      <c r="E85" s="660" t="s">
        <v>921</v>
      </c>
      <c r="F85" s="597" t="s">
        <v>859</v>
      </c>
      <c r="G85" s="661"/>
      <c r="H85" s="947"/>
      <c r="I85" s="661">
        <v>36</v>
      </c>
      <c r="J85" s="947"/>
      <c r="K85" s="226"/>
      <c r="X85" s="693">
        <v>0</v>
      </c>
    </row>
    <row r="86" spans="1:24" s="2238" customFormat="1" ht="11.25" customHeight="1">
      <c r="A86" s="2588"/>
      <c r="B86" s="448"/>
      <c r="D86" s="602" t="s">
        <v>922</v>
      </c>
      <c r="E86" s="660" t="s">
        <v>923</v>
      </c>
      <c r="F86" s="597" t="s">
        <v>859</v>
      </c>
      <c r="G86" s="661"/>
      <c r="H86" s="947"/>
      <c r="I86" s="661">
        <v>50</v>
      </c>
      <c r="J86" s="947"/>
      <c r="K86" s="226"/>
      <c r="X86" s="693">
        <v>0</v>
      </c>
    </row>
    <row r="87" spans="1:24" s="2238" customFormat="1" ht="45" customHeight="1">
      <c r="A87" s="2588"/>
      <c r="B87" s="448"/>
      <c r="D87" s="602" t="s">
        <v>90</v>
      </c>
      <c r="E87" s="603" t="s">
        <v>924</v>
      </c>
      <c r="F87" s="597" t="s">
        <v>859</v>
      </c>
      <c r="G87" s="661"/>
      <c r="H87" s="947"/>
      <c r="I87" s="661">
        <v>172</v>
      </c>
      <c r="J87" s="947"/>
      <c r="K87" s="226" t="s">
        <v>925</v>
      </c>
      <c r="X87" s="693">
        <v>0</v>
      </c>
    </row>
    <row r="88" spans="1:24" s="2238" customFormat="1" ht="11.25" customHeight="1">
      <c r="A88" s="2588"/>
      <c r="B88" s="448"/>
      <c r="D88" s="602" t="s">
        <v>754</v>
      </c>
      <c r="E88" s="660" t="s">
        <v>914</v>
      </c>
      <c r="F88" s="597" t="s">
        <v>859</v>
      </c>
      <c r="G88" s="661"/>
      <c r="H88" s="947"/>
      <c r="I88" s="661">
        <v>3</v>
      </c>
      <c r="J88" s="947"/>
      <c r="K88" s="226"/>
      <c r="X88" s="693">
        <v>0</v>
      </c>
    </row>
    <row r="89" spans="1:24" s="2238" customFormat="1" ht="11.25" customHeight="1">
      <c r="A89" s="2588"/>
      <c r="B89" s="448"/>
      <c r="D89" s="602" t="s">
        <v>796</v>
      </c>
      <c r="E89" s="660" t="s">
        <v>915</v>
      </c>
      <c r="F89" s="597" t="s">
        <v>859</v>
      </c>
      <c r="G89" s="661"/>
      <c r="H89" s="947"/>
      <c r="I89" s="661">
        <v>3</v>
      </c>
      <c r="J89" s="947"/>
      <c r="K89" s="226"/>
      <c r="X89" s="693">
        <v>0</v>
      </c>
    </row>
    <row r="90" spans="1:24" s="2238" customFormat="1" ht="11.25" customHeight="1">
      <c r="A90" s="2588"/>
      <c r="B90" s="448"/>
      <c r="D90" s="602" t="s">
        <v>799</v>
      </c>
      <c r="E90" s="660" t="s">
        <v>916</v>
      </c>
      <c r="F90" s="597" t="s">
        <v>859</v>
      </c>
      <c r="G90" s="661"/>
      <c r="H90" s="947"/>
      <c r="I90" s="661">
        <v>33</v>
      </c>
      <c r="J90" s="947"/>
      <c r="K90" s="226"/>
      <c r="X90" s="693">
        <v>0</v>
      </c>
    </row>
    <row r="91" spans="1:24" s="2238" customFormat="1" ht="11.25" customHeight="1">
      <c r="A91" s="2588"/>
      <c r="B91" s="448"/>
      <c r="D91" s="602" t="s">
        <v>877</v>
      </c>
      <c r="E91" s="660" t="s">
        <v>917</v>
      </c>
      <c r="F91" s="597" t="s">
        <v>859</v>
      </c>
      <c r="G91" s="661"/>
      <c r="H91" s="947"/>
      <c r="I91" s="661">
        <v>31</v>
      </c>
      <c r="J91" s="947"/>
      <c r="K91" s="226"/>
      <c r="X91" s="693">
        <v>0</v>
      </c>
    </row>
    <row r="92" spans="1:24" s="2238" customFormat="1" ht="11.25" customHeight="1">
      <c r="A92" s="2588"/>
      <c r="B92" s="448"/>
      <c r="D92" s="602" t="s">
        <v>879</v>
      </c>
      <c r="E92" s="660" t="s">
        <v>919</v>
      </c>
      <c r="F92" s="597" t="s">
        <v>859</v>
      </c>
      <c r="G92" s="661"/>
      <c r="H92" s="947"/>
      <c r="I92" s="661">
        <v>24</v>
      </c>
      <c r="J92" s="947"/>
      <c r="K92" s="226"/>
      <c r="X92" s="693">
        <v>0</v>
      </c>
    </row>
    <row r="93" spans="1:24" s="2238" customFormat="1" ht="11.25" customHeight="1">
      <c r="A93" s="2588"/>
      <c r="B93" s="448"/>
      <c r="D93" s="602" t="s">
        <v>926</v>
      </c>
      <c r="E93" s="660" t="s">
        <v>921</v>
      </c>
      <c r="F93" s="597" t="s">
        <v>859</v>
      </c>
      <c r="G93" s="661"/>
      <c r="H93" s="947"/>
      <c r="I93" s="661">
        <v>28</v>
      </c>
      <c r="J93" s="947"/>
      <c r="K93" s="226"/>
      <c r="X93" s="693">
        <v>0</v>
      </c>
    </row>
    <row r="94" spans="1:24" s="2238" customFormat="1" ht="11.25" customHeight="1">
      <c r="A94" s="2588"/>
      <c r="B94" s="448"/>
      <c r="D94" s="602" t="s">
        <v>927</v>
      </c>
      <c r="E94" s="660" t="s">
        <v>923</v>
      </c>
      <c r="F94" s="597" t="s">
        <v>859</v>
      </c>
      <c r="G94" s="661"/>
      <c r="H94" s="947"/>
      <c r="I94" s="661">
        <v>50</v>
      </c>
      <c r="J94" s="947"/>
      <c r="K94" s="226"/>
      <c r="X94" s="693">
        <v>0</v>
      </c>
    </row>
    <row r="95" spans="1:24" s="2238" customFormat="1" ht="24.75" customHeight="1">
      <c r="A95" s="2588"/>
      <c r="B95" s="448"/>
      <c r="D95" s="602" t="s">
        <v>110</v>
      </c>
      <c r="E95" s="603" t="s">
        <v>928</v>
      </c>
      <c r="F95" s="662" t="s">
        <v>556</v>
      </c>
      <c r="G95" s="664"/>
      <c r="H95" s="947"/>
      <c r="I95" s="664">
        <v>100</v>
      </c>
      <c r="J95" s="947"/>
      <c r="K95" s="226" t="s">
        <v>929</v>
      </c>
      <c r="X95" s="693">
        <v>0</v>
      </c>
    </row>
    <row r="96" spans="1:24" s="2238" customFormat="1" ht="33.75" customHeight="1">
      <c r="A96" s="2588"/>
      <c r="B96" s="448"/>
      <c r="D96" s="602" t="s">
        <v>91</v>
      </c>
      <c r="E96" s="603" t="s">
        <v>930</v>
      </c>
      <c r="F96" s="663" t="s">
        <v>820</v>
      </c>
      <c r="G96" s="665"/>
      <c r="H96" s="947"/>
      <c r="I96" s="665">
        <v>14</v>
      </c>
      <c r="J96" s="947"/>
      <c r="K96" s="226"/>
      <c r="X96" s="693">
        <v>0</v>
      </c>
    </row>
    <row r="97" spans="1:24" s="2238" customFormat="1" ht="22.5" customHeight="1">
      <c r="A97" s="2588"/>
      <c r="B97" s="448" t="s">
        <v>589</v>
      </c>
      <c r="D97" s="602" t="s">
        <v>92</v>
      </c>
      <c r="E97" s="603" t="s">
        <v>931</v>
      </c>
      <c r="F97" s="663" t="s">
        <v>304</v>
      </c>
      <c r="G97" s="322"/>
      <c r="H97" s="947"/>
      <c r="I97" s="2232" t="s">
        <v>932</v>
      </c>
      <c r="J97" s="947"/>
      <c r="K97" s="226" t="s">
        <v>632</v>
      </c>
      <c r="X97" s="693">
        <v>0</v>
      </c>
    </row>
    <row r="98" spans="1:24" s="2238" customFormat="1" ht="45" customHeight="1">
      <c r="A98" s="2588"/>
      <c r="B98" s="448" t="s">
        <v>589</v>
      </c>
      <c r="D98" s="602" t="s">
        <v>933</v>
      </c>
      <c r="E98" s="604" t="s">
        <v>934</v>
      </c>
      <c r="F98" s="658" t="s">
        <v>304</v>
      </c>
      <c r="G98" s="322"/>
      <c r="H98" s="947"/>
      <c r="I98" s="2232" t="s">
        <v>935</v>
      </c>
      <c r="J98" s="947"/>
      <c r="K98" s="226" t="s">
        <v>632</v>
      </c>
      <c r="X98" s="693">
        <v>0</v>
      </c>
    </row>
    <row r="99" spans="1:24" s="2238" customFormat="1" ht="95.25" customHeight="1">
      <c r="A99" s="2588"/>
      <c r="B99" s="448" t="s">
        <v>589</v>
      </c>
      <c r="D99" s="602" t="s">
        <v>111</v>
      </c>
      <c r="E99" s="603" t="s">
        <v>936</v>
      </c>
      <c r="F99" s="658" t="s">
        <v>304</v>
      </c>
      <c r="G99" s="322"/>
      <c r="H99" s="947"/>
      <c r="I99" s="2232" t="s">
        <v>937</v>
      </c>
      <c r="J99" s="947"/>
      <c r="K99" s="226" t="s">
        <v>632</v>
      </c>
      <c r="X99" s="693">
        <v>0</v>
      </c>
    </row>
    <row r="100" spans="1:24" s="2238" customFormat="1" ht="22.5" customHeight="1">
      <c r="A100" s="2588"/>
      <c r="B100" s="448" t="s">
        <v>589</v>
      </c>
      <c r="D100" s="602" t="s">
        <v>148</v>
      </c>
      <c r="E100" s="603" t="s">
        <v>938</v>
      </c>
      <c r="F100" s="658" t="s">
        <v>304</v>
      </c>
      <c r="G100" s="322"/>
      <c r="H100" s="947"/>
      <c r="I100" s="2232" t="s">
        <v>939</v>
      </c>
      <c r="J100" s="947"/>
      <c r="K100" s="226" t="s">
        <v>632</v>
      </c>
      <c r="X100" s="693">
        <v>0</v>
      </c>
    </row>
    <row r="101" spans="1:24" s="2238" customFormat="1" ht="11.45" customHeight="1">
      <c r="A101" s="957"/>
      <c r="B101" s="455"/>
      <c r="D101" s="958"/>
      <c r="E101" s="959"/>
      <c r="X101" s="446">
        <v>11</v>
      </c>
    </row>
    <row r="102" spans="1:24" ht="22.5" hidden="1" customHeight="1">
      <c r="A102" s="473" t="s">
        <v>81</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hyperlinks>
    <hyperlink ref="I97" r:id="rId1"/>
    <hyperlink ref="I98" r:id="rId2"/>
    <hyperlink ref="I99" r:id="rId3"/>
    <hyperlink ref="I100" r:id="rId4"/>
  </hyperlinks>
  <pageMargins left="0.70866141732283472" right="0.70866141732283472" top="0.74803149606299213" bottom="0.74803149606299213" header="0.31496062992125984" footer="0.31496062992125984"/>
  <pageSetup paperSize="9" scale="58" fitToHeight="2" orientation="portrait" horizontalDpi="1200" verticalDpi="1200" r:id="rId5"/>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M17"/>
  <sheetViews>
    <sheetView showGridLines="0" topLeftCell="C3" zoomScale="90" workbookViewId="0">
      <selection activeCell="D3" sqref="A3:M16"/>
    </sheetView>
  </sheetViews>
  <sheetFormatPr defaultColWidth="9.140625" defaultRowHeight="11.25" customHeight="1"/>
  <cols>
    <col min="1" max="1" width="6.42578125" style="2254" hidden="1" customWidth="1"/>
    <col min="2" max="2" width="2" style="2254" hidden="1" customWidth="1"/>
    <col min="3" max="3" width="3" style="2254" customWidth="1"/>
    <col min="4" max="4" width="4" style="2254" customWidth="1"/>
    <col min="5" max="5" width="44" style="2254" customWidth="1"/>
    <col min="6" max="6" width="6.42578125" style="2254" customWidth="1"/>
    <col min="7" max="7" width="4" style="2254" customWidth="1"/>
    <col min="8" max="8" width="5" style="2254" customWidth="1"/>
    <col min="9" max="9" width="39.140625" style="2254" customWidth="1"/>
    <col min="10" max="10" width="7" style="2254" customWidth="1"/>
    <col min="11" max="11" width="3" style="2254" customWidth="1"/>
    <col min="12" max="12" width="6" style="2254" customWidth="1"/>
    <col min="13" max="13" width="34.42578125" style="2254" customWidth="1"/>
    <col min="14" max="14" width="8" style="2255" customWidth="1"/>
    <col min="15" max="20" width="9.140625" style="2251" hidden="1"/>
    <col min="21" max="24" width="9.140625" style="2256" hidden="1"/>
    <col min="25" max="37" width="9.140625" style="2255" hidden="1"/>
    <col min="38" max="38" width="8" style="2255" customWidth="1"/>
    <col min="39" max="39" width="9.140625" style="2254"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356"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357"/>
      <c r="F4" s="2357"/>
      <c r="G4" s="2357"/>
      <c r="H4" s="2357"/>
      <c r="I4" s="2358"/>
      <c r="J4" s="521"/>
      <c r="K4" s="521"/>
      <c r="L4" s="521"/>
      <c r="M4" s="521"/>
      <c r="AM4" s="520">
        <v>34</v>
      </c>
    </row>
    <row r="5" spans="1:39" s="2253" customFormat="1" ht="14.65" customHeight="1">
      <c r="A5" s="522"/>
      <c r="B5" s="522"/>
      <c r="C5" s="522"/>
      <c r="D5" s="2359" t="str">
        <f>IF(org=0,"Не определено",org)</f>
        <v>МУП "Водоканал"</v>
      </c>
      <c r="E5" s="2360"/>
      <c r="F5" s="2360"/>
      <c r="G5" s="2360"/>
      <c r="H5" s="2360"/>
      <c r="I5" s="2361"/>
      <c r="J5" s="523"/>
      <c r="K5" s="523"/>
      <c r="L5" s="523"/>
      <c r="M5" s="523"/>
      <c r="N5" s="523"/>
      <c r="O5" s="797"/>
      <c r="P5" s="797"/>
      <c r="Q5" s="797"/>
      <c r="R5" s="797"/>
      <c r="S5" s="797"/>
      <c r="T5" s="797"/>
      <c r="U5" s="1180"/>
      <c r="V5" s="1180"/>
      <c r="W5" s="1180"/>
      <c r="X5" s="1180"/>
      <c r="Y5" s="523"/>
      <c r="Z5" s="523"/>
      <c r="AA5" s="523"/>
      <c r="AB5" s="523"/>
      <c r="AC5" s="523"/>
      <c r="AD5" s="523"/>
      <c r="AE5" s="523"/>
      <c r="AF5" s="523"/>
      <c r="AG5" s="523"/>
      <c r="AH5" s="523"/>
      <c r="AI5" s="523"/>
      <c r="AJ5" s="523"/>
      <c r="AK5" s="523"/>
      <c r="AL5" s="523"/>
      <c r="AM5" s="524">
        <v>14</v>
      </c>
    </row>
    <row r="6" spans="1:39" s="2253" customFormat="1" ht="6.4" customHeight="1">
      <c r="A6" s="2338"/>
      <c r="B6" s="2338"/>
      <c r="C6" s="2338"/>
      <c r="D6" s="2338"/>
      <c r="E6" s="2338"/>
      <c r="F6" s="2338"/>
      <c r="G6" s="525"/>
      <c r="H6" s="525"/>
      <c r="I6" s="525"/>
      <c r="J6" s="525"/>
      <c r="K6" s="525"/>
      <c r="N6" s="527"/>
      <c r="O6" s="1333"/>
      <c r="P6" s="1333"/>
      <c r="Q6" s="1333"/>
      <c r="R6" s="1333"/>
      <c r="S6" s="1333"/>
      <c r="T6" s="1333"/>
      <c r="U6" s="1183"/>
      <c r="V6" s="1183"/>
      <c r="W6" s="1183"/>
      <c r="X6" s="1183"/>
      <c r="Y6" s="527"/>
      <c r="Z6" s="527"/>
      <c r="AA6" s="527"/>
      <c r="AB6" s="527"/>
      <c r="AC6" s="527"/>
      <c r="AD6" s="527"/>
      <c r="AE6" s="527"/>
      <c r="AF6" s="527"/>
      <c r="AG6" s="527"/>
      <c r="AH6" s="527"/>
      <c r="AI6" s="527"/>
      <c r="AJ6" s="527"/>
      <c r="AK6" s="527"/>
      <c r="AL6" s="527"/>
      <c r="AM6" s="526">
        <v>6</v>
      </c>
    </row>
    <row r="7" spans="1:39" ht="45.75" hidden="1" customHeight="1">
      <c r="E7" s="236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367"/>
      <c r="G7" s="2367"/>
      <c r="H7" s="2367"/>
      <c r="I7" s="2367"/>
      <c r="J7" s="2367"/>
      <c r="K7" s="2367"/>
      <c r="L7" s="2367"/>
      <c r="M7" s="2367"/>
      <c r="AM7" s="520">
        <v>0</v>
      </c>
    </row>
    <row r="8" spans="1:39" s="2253" customFormat="1" ht="6.4" customHeight="1">
      <c r="A8" s="528"/>
      <c r="B8" s="528"/>
      <c r="C8" s="528"/>
      <c r="D8" s="528"/>
      <c r="E8" s="528"/>
      <c r="F8" s="528"/>
      <c r="G8" s="528"/>
      <c r="H8" s="528"/>
      <c r="I8" s="528"/>
      <c r="J8" s="528"/>
      <c r="K8" s="528"/>
      <c r="L8" s="528"/>
      <c r="M8" s="526"/>
      <c r="N8" s="523"/>
      <c r="O8" s="797"/>
      <c r="P8" s="797"/>
      <c r="Q8" s="797"/>
      <c r="R8" s="797"/>
      <c r="S8" s="797"/>
      <c r="T8" s="797"/>
      <c r="U8" s="1180"/>
      <c r="V8" s="1180"/>
      <c r="W8" s="1180"/>
      <c r="X8" s="1180"/>
      <c r="Y8" s="523"/>
      <c r="Z8" s="523"/>
      <c r="AA8" s="523"/>
      <c r="AB8" s="523"/>
      <c r="AC8" s="523"/>
      <c r="AD8" s="523"/>
      <c r="AE8" s="523"/>
      <c r="AF8" s="523"/>
      <c r="AG8" s="523"/>
      <c r="AH8" s="523"/>
      <c r="AI8" s="523"/>
      <c r="AJ8" s="523"/>
      <c r="AK8" s="523"/>
      <c r="AL8" s="523"/>
      <c r="AM8" s="524">
        <v>6</v>
      </c>
    </row>
    <row r="9" spans="1:39" ht="18.75" customHeight="1">
      <c r="A9" s="2362"/>
      <c r="B9" s="260"/>
      <c r="C9" s="260"/>
      <c r="D9" s="2363" t="s">
        <v>104</v>
      </c>
      <c r="E9" s="2363"/>
      <c r="F9" s="2364" t="s">
        <v>105</v>
      </c>
      <c r="G9" s="2365"/>
      <c r="H9" s="2365"/>
      <c r="I9" s="2365"/>
      <c r="J9" s="2368" t="s">
        <v>106</v>
      </c>
      <c r="K9" s="2368"/>
      <c r="L9" s="2368"/>
      <c r="M9" s="2368"/>
      <c r="AM9" s="520">
        <v>18</v>
      </c>
    </row>
    <row r="10" spans="1:39" ht="24" customHeight="1">
      <c r="A10" s="2362"/>
      <c r="B10" s="529"/>
      <c r="C10" s="462"/>
      <c r="D10" s="460" t="s">
        <v>87</v>
      </c>
      <c r="E10" s="460" t="s">
        <v>88</v>
      </c>
      <c r="F10" s="460" t="s">
        <v>107</v>
      </c>
      <c r="G10" s="2369" t="s">
        <v>87</v>
      </c>
      <c r="H10" s="2370"/>
      <c r="I10" s="460" t="s">
        <v>88</v>
      </c>
      <c r="J10" s="460" t="s">
        <v>107</v>
      </c>
      <c r="K10" s="2369" t="s">
        <v>87</v>
      </c>
      <c r="L10" s="2370"/>
      <c r="M10" s="460" t="s">
        <v>88</v>
      </c>
      <c r="N10" s="1546"/>
      <c r="AM10" s="520">
        <v>23</v>
      </c>
    </row>
    <row r="11" spans="1:39" s="2254" customFormat="1" ht="11.25" hidden="1" customHeight="1">
      <c r="A11" s="530"/>
      <c r="B11" s="530"/>
      <c r="C11" s="530"/>
      <c r="D11" s="531" t="s">
        <v>108</v>
      </c>
      <c r="E11" s="531" t="s">
        <v>109</v>
      </c>
      <c r="F11" s="531" t="s">
        <v>89</v>
      </c>
      <c r="G11" s="2352" t="s">
        <v>90</v>
      </c>
      <c r="H11" s="2353"/>
      <c r="I11" s="531" t="s">
        <v>110</v>
      </c>
      <c r="J11" s="531" t="s">
        <v>91</v>
      </c>
      <c r="K11" s="2354" t="s">
        <v>92</v>
      </c>
      <c r="L11" s="2355"/>
      <c r="M11" s="531" t="s">
        <v>111</v>
      </c>
      <c r="N11" s="1545"/>
      <c r="O11" s="1332"/>
      <c r="P11" s="1334"/>
      <c r="Q11" s="1334"/>
      <c r="R11" s="1334"/>
      <c r="S11" s="1334"/>
      <c r="T11" s="1334"/>
      <c r="U11" s="1184"/>
      <c r="V11" s="1184"/>
      <c r="W11" s="1184"/>
      <c r="X11" s="1184"/>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3"/>
      <c r="H12" s="983"/>
      <c r="I12" s="537"/>
      <c r="J12" s="537"/>
      <c r="K12" s="111"/>
      <c r="L12" s="304"/>
      <c r="M12" s="538"/>
      <c r="N12" s="1546"/>
      <c r="O12" s="1332" t="s">
        <v>112</v>
      </c>
      <c r="P12" s="1332" t="s">
        <v>113</v>
      </c>
      <c r="Q12" s="1332" t="s">
        <v>114</v>
      </c>
      <c r="R12" s="1332" t="s">
        <v>115</v>
      </c>
      <c r="AM12" s="520">
        <v>1</v>
      </c>
    </row>
    <row r="13" spans="1:39" s="2254" customFormat="1" ht="15.75" customHeight="1">
      <c r="A13" s="230"/>
      <c r="B13" s="230"/>
      <c r="C13" s="463"/>
      <c r="D13" s="2345" t="s">
        <v>108</v>
      </c>
      <c r="E13" s="2346" t="str">
        <f>INDEX(VD_NAME_LIST,MATCH("4189714",VD_ID_LIST,0))</f>
        <v>Водоотведение</v>
      </c>
      <c r="F13" s="2349" t="s">
        <v>64</v>
      </c>
      <c r="G13" s="2350"/>
      <c r="H13" s="2351">
        <v>1</v>
      </c>
      <c r="I13" s="2342" t="str">
        <f>IF(U13="","",INDEX(TERRITORY_MR_LIST,MATCH(U13,TERRITORY_LIST_ID,0)))</f>
        <v>Территория 1</v>
      </c>
      <c r="J13" s="2344" t="s">
        <v>19</v>
      </c>
      <c r="K13" s="539"/>
      <c r="L13" s="464" t="s">
        <v>108</v>
      </c>
      <c r="M13" s="540" t="s">
        <v>22</v>
      </c>
      <c r="N13" s="743"/>
      <c r="O13" s="1335" t="s">
        <v>116</v>
      </c>
      <c r="P13" s="1332" t="str">
        <f>$E$13</f>
        <v>Водоотведение</v>
      </c>
      <c r="Q13" s="1332" t="str">
        <f>IF($F$13="нет","без дифференциации",$I$13)</f>
        <v>Территория 1</v>
      </c>
      <c r="R13" s="1332" t="str">
        <f>IF($J$13="нет","без дифференциации",M13)</f>
        <v>без дифференциации</v>
      </c>
      <c r="S13" s="1335"/>
      <c r="T13" s="1335"/>
      <c r="U13" s="1185" t="s">
        <v>97</v>
      </c>
      <c r="V13" s="1185" t="s">
        <v>117</v>
      </c>
      <c r="W13" s="1185"/>
      <c r="X13" s="1185"/>
      <c r="Y13" s="541" t="s">
        <v>118</v>
      </c>
      <c r="Z13" s="541">
        <v>1705000</v>
      </c>
      <c r="AA13" s="541"/>
      <c r="AB13" s="541"/>
      <c r="AC13" s="541"/>
      <c r="AD13" s="541"/>
      <c r="AE13" s="541"/>
      <c r="AF13" s="541"/>
      <c r="AG13" s="541"/>
      <c r="AH13" s="541"/>
      <c r="AI13" s="541"/>
      <c r="AJ13" s="541"/>
      <c r="AK13" s="541"/>
      <c r="AL13" s="541"/>
      <c r="AM13" s="543">
        <v>15</v>
      </c>
    </row>
    <row r="14" spans="1:39" s="2254" customFormat="1" ht="15.75" customHeight="1">
      <c r="A14" s="230"/>
      <c r="B14" s="230"/>
      <c r="C14" s="113"/>
      <c r="D14" s="2345"/>
      <c r="E14" s="2347"/>
      <c r="F14" s="2344"/>
      <c r="G14" s="2350"/>
      <c r="H14" s="2351"/>
      <c r="I14" s="2343"/>
      <c r="J14" s="2344"/>
      <c r="K14" s="358"/>
      <c r="L14" s="114"/>
      <c r="M14" s="544" t="s">
        <v>119</v>
      </c>
      <c r="N14" s="743"/>
      <c r="O14" s="1335"/>
      <c r="P14" s="1332"/>
      <c r="Q14" s="1332"/>
      <c r="R14" s="1332"/>
      <c r="S14" s="1335"/>
      <c r="T14" s="1335"/>
      <c r="U14" s="1185"/>
      <c r="V14" s="1185"/>
      <c r="W14" s="1185"/>
      <c r="X14" s="1185"/>
      <c r="Y14" s="541"/>
      <c r="Z14" s="541"/>
      <c r="AA14" s="541"/>
      <c r="AB14" s="541"/>
      <c r="AC14" s="541"/>
      <c r="AD14" s="541"/>
      <c r="AE14" s="541"/>
      <c r="AF14" s="541"/>
      <c r="AG14" s="541"/>
      <c r="AH14" s="541"/>
      <c r="AI14" s="541"/>
      <c r="AJ14" s="541"/>
      <c r="AK14" s="541"/>
      <c r="AL14" s="541"/>
      <c r="AM14" s="543">
        <v>15</v>
      </c>
    </row>
    <row r="15" spans="1:39" s="2254" customFormat="1" ht="15.75" customHeight="1">
      <c r="A15" s="230"/>
      <c r="B15" s="230"/>
      <c r="C15" s="113"/>
      <c r="D15" s="2345"/>
      <c r="E15" s="2348"/>
      <c r="F15" s="2344"/>
      <c r="G15" s="984"/>
      <c r="H15" s="985"/>
      <c r="I15" s="517" t="s">
        <v>120</v>
      </c>
      <c r="J15" s="114"/>
      <c r="K15" s="114"/>
      <c r="L15" s="114"/>
      <c r="M15" s="545"/>
      <c r="N15" s="743"/>
      <c r="O15" s="1335"/>
      <c r="P15" s="1332"/>
      <c r="Q15" s="1332"/>
      <c r="R15" s="1332"/>
      <c r="S15" s="1335"/>
      <c r="T15" s="1335"/>
      <c r="U15" s="1185"/>
      <c r="V15" s="1185"/>
      <c r="W15" s="1185"/>
      <c r="X15" s="1185"/>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121</v>
      </c>
      <c r="F16" s="114"/>
      <c r="G16" s="114"/>
      <c r="H16" s="114"/>
      <c r="I16" s="114"/>
      <c r="J16" s="114"/>
      <c r="K16" s="114" t="s">
        <v>22</v>
      </c>
      <c r="L16" s="114"/>
      <c r="M16" s="545"/>
      <c r="N16" s="1546"/>
      <c r="AM16" s="520">
        <v>15</v>
      </c>
    </row>
    <row r="17" spans="1:39" ht="11.25" hidden="1" customHeight="1">
      <c r="A17" s="520" t="s">
        <v>81</v>
      </c>
      <c r="B17" s="520">
        <v>0</v>
      </c>
      <c r="C17" s="520">
        <v>3</v>
      </c>
      <c r="D17" s="520">
        <v>4</v>
      </c>
      <c r="E17" s="520">
        <v>44</v>
      </c>
      <c r="F17" s="520">
        <v>6</v>
      </c>
      <c r="G17" s="520">
        <v>4</v>
      </c>
      <c r="H17" s="520">
        <v>5</v>
      </c>
      <c r="I17" s="520">
        <v>52</v>
      </c>
      <c r="J17" s="520">
        <v>6</v>
      </c>
      <c r="K17" s="520">
        <v>3</v>
      </c>
      <c r="L17" s="520">
        <v>6</v>
      </c>
      <c r="M17" s="520">
        <v>56</v>
      </c>
      <c r="N17" s="521">
        <v>8</v>
      </c>
      <c r="O17" s="1332">
        <v>0</v>
      </c>
      <c r="P17" s="1332">
        <v>0</v>
      </c>
      <c r="Q17" s="1332">
        <v>0</v>
      </c>
      <c r="R17" s="1332">
        <v>0</v>
      </c>
      <c r="S17" s="1332">
        <v>0</v>
      </c>
      <c r="T17" s="1332">
        <v>0</v>
      </c>
      <c r="U17" s="1182">
        <v>0</v>
      </c>
      <c r="V17" s="1182">
        <v>0</v>
      </c>
      <c r="W17" s="1182">
        <v>0</v>
      </c>
      <c r="X17" s="1182">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866141732283472" right="0.70866141732283472" top="0.74803149606299213" bottom="0.74803149606299213" header="0.31496062992125984" footer="0.31496062992125984"/>
  <pageSetup paperSize="9" scale="61" orientation="portrait" horizontalDpi="1200" verticalDpi="1200"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2236" hidden="1" customWidth="1"/>
    <col min="2" max="2" width="9.140625" style="2238" hidden="1" customWidth="1"/>
    <col min="3" max="3" width="4" style="2283" customWidth="1"/>
    <col min="4" max="4" width="6" style="2238" customWidth="1"/>
    <col min="5" max="5" width="36" style="2238" customWidth="1"/>
    <col min="6" max="6" width="9" style="2238" customWidth="1"/>
    <col min="7" max="7" width="25.7109375" style="2238" hidden="1" customWidth="1"/>
    <col min="8" max="8" width="33.7109375" style="2238" hidden="1" customWidth="1"/>
    <col min="9" max="9" width="25.7109375" style="2238" customWidth="1"/>
    <col min="10" max="10" width="33" style="2238" customWidth="1"/>
    <col min="11" max="11" width="93" style="2244" customWidth="1"/>
    <col min="12" max="20" width="10" style="2238" customWidth="1"/>
    <col min="21" max="21" width="10" style="2284" customWidth="1"/>
    <col min="22" max="22" width="10.5703125" style="2238" hidden="1"/>
  </cols>
  <sheetData>
    <row r="1" spans="1:22" s="2244" customFormat="1" ht="22.5" hidden="1" customHeight="1">
      <c r="C1" s="609"/>
      <c r="G1" s="354">
        <v>4</v>
      </c>
      <c r="I1" s="354">
        <v>4</v>
      </c>
      <c r="U1" s="357"/>
      <c r="V1" s="354" t="s">
        <v>14</v>
      </c>
    </row>
    <row r="2" spans="1:22" s="2244" customFormat="1" ht="15" hidden="1" customHeight="1">
      <c r="C2" s="609"/>
      <c r="U2" s="357"/>
      <c r="V2" s="354">
        <v>0</v>
      </c>
    </row>
    <row r="3" spans="1:22" ht="22.5" hidden="1" customHeight="1">
      <c r="A3" s="442"/>
      <c r="B3" s="2593"/>
      <c r="C3" s="2594" t="s">
        <v>575</v>
      </c>
      <c r="D3" s="626" t="str">
        <f>B3&amp;".1"</f>
        <v>.1</v>
      </c>
      <c r="E3" s="627" t="s">
        <v>940</v>
      </c>
      <c r="F3" s="628" t="s">
        <v>304</v>
      </c>
      <c r="G3" s="623"/>
      <c r="H3" s="338"/>
      <c r="I3" s="623"/>
      <c r="J3" s="338"/>
      <c r="K3" s="226" t="s">
        <v>941</v>
      </c>
      <c r="V3" s="442">
        <v>0</v>
      </c>
    </row>
    <row r="4" spans="1:22" ht="15" hidden="1" customHeight="1">
      <c r="A4" s="442"/>
      <c r="B4" s="2593"/>
      <c r="C4" s="2594"/>
      <c r="D4" s="626" t="str">
        <f>B3&amp;".2"</f>
        <v>.2</v>
      </c>
      <c r="E4" s="627" t="s">
        <v>942</v>
      </c>
      <c r="F4" s="628" t="s">
        <v>304</v>
      </c>
      <c r="G4" s="1656" t="s">
        <v>22</v>
      </c>
      <c r="H4" s="338"/>
      <c r="I4" s="1656" t="s">
        <v>22</v>
      </c>
      <c r="J4" s="338"/>
      <c r="K4" s="226" t="s">
        <v>943</v>
      </c>
      <c r="V4" s="442">
        <v>0</v>
      </c>
    </row>
    <row r="5" spans="1:22" s="2244" customFormat="1" ht="15" hidden="1" customHeight="1">
      <c r="C5" s="609"/>
      <c r="U5" s="357"/>
      <c r="V5" s="354">
        <v>0</v>
      </c>
    </row>
    <row r="6" spans="1:22" ht="22.5" hidden="1" customHeight="1">
      <c r="A6" s="442"/>
      <c r="B6" s="2593"/>
      <c r="C6" s="2594" t="s">
        <v>575</v>
      </c>
      <c r="D6" s="626" t="str">
        <f>B6&amp;".1"</f>
        <v>.1</v>
      </c>
      <c r="E6" s="627" t="s">
        <v>944</v>
      </c>
      <c r="F6" s="628" t="s">
        <v>304</v>
      </c>
      <c r="G6" s="623"/>
      <c r="H6" s="338"/>
      <c r="I6" s="623"/>
      <c r="J6" s="338"/>
      <c r="K6" s="226" t="s">
        <v>945</v>
      </c>
      <c r="V6" s="442">
        <v>0</v>
      </c>
    </row>
    <row r="7" spans="1:22" ht="15" hidden="1" customHeight="1">
      <c r="A7" s="442"/>
      <c r="B7" s="2593"/>
      <c r="C7" s="2594"/>
      <c r="D7" s="626" t="str">
        <f>B6&amp;".2"</f>
        <v>.2</v>
      </c>
      <c r="E7" s="627" t="s">
        <v>942</v>
      </c>
      <c r="F7" s="628" t="s">
        <v>304</v>
      </c>
      <c r="G7" s="1656" t="s">
        <v>22</v>
      </c>
      <c r="H7" s="338"/>
      <c r="I7" s="1656" t="s">
        <v>22</v>
      </c>
      <c r="J7" s="338"/>
      <c r="K7" s="226" t="s">
        <v>943</v>
      </c>
      <c r="V7" s="442">
        <v>0</v>
      </c>
    </row>
    <row r="8" spans="1:22" s="2244" customFormat="1" ht="15" hidden="1" customHeight="1">
      <c r="C8" s="609"/>
      <c r="U8" s="357"/>
      <c r="V8" s="354">
        <v>0</v>
      </c>
    </row>
    <row r="9" spans="1:22" ht="22.5" hidden="1" customHeight="1">
      <c r="A9" s="442"/>
      <c r="B9" s="2593"/>
      <c r="C9" s="2594" t="s">
        <v>575</v>
      </c>
      <c r="D9" s="626" t="str">
        <f>B9&amp;".1"</f>
        <v>.1</v>
      </c>
      <c r="E9" s="627" t="s">
        <v>946</v>
      </c>
      <c r="F9" s="628" t="s">
        <v>304</v>
      </c>
      <c r="G9" s="634" t="s">
        <v>22</v>
      </c>
      <c r="H9" s="338" t="s">
        <v>22</v>
      </c>
      <c r="I9" s="634" t="s">
        <v>22</v>
      </c>
      <c r="J9" s="338" t="s">
        <v>22</v>
      </c>
      <c r="K9" s="226"/>
      <c r="V9" s="442">
        <v>0</v>
      </c>
    </row>
    <row r="10" spans="1:22" ht="15" hidden="1" customHeight="1">
      <c r="A10" s="442"/>
      <c r="B10" s="2593"/>
      <c r="C10" s="2594"/>
      <c r="D10" s="626" t="str">
        <f>B9&amp;".2"</f>
        <v>.2</v>
      </c>
      <c r="E10" s="627" t="s">
        <v>947</v>
      </c>
      <c r="F10" s="628" t="s">
        <v>304</v>
      </c>
      <c r="G10" s="1650" t="s">
        <v>22</v>
      </c>
      <c r="H10" s="338" t="s">
        <v>22</v>
      </c>
      <c r="I10" s="1650" t="s">
        <v>22</v>
      </c>
      <c r="J10" s="338" t="s">
        <v>22</v>
      </c>
      <c r="K10" s="226" t="s">
        <v>948</v>
      </c>
      <c r="V10" s="442">
        <v>0</v>
      </c>
    </row>
    <row r="11" spans="1:22" ht="15" hidden="1" customHeight="1">
      <c r="A11" s="442"/>
      <c r="B11" s="2593"/>
      <c r="C11" s="2594"/>
      <c r="D11" s="626" t="str">
        <f>B9&amp;".3"</f>
        <v>.3</v>
      </c>
      <c r="E11" s="627" t="s">
        <v>949</v>
      </c>
      <c r="F11" s="628" t="s">
        <v>304</v>
      </c>
      <c r="G11" s="1650" t="s">
        <v>22</v>
      </c>
      <c r="H11" s="338" t="s">
        <v>22</v>
      </c>
      <c r="I11" s="1650" t="s">
        <v>22</v>
      </c>
      <c r="J11" s="338" t="s">
        <v>22</v>
      </c>
      <c r="K11" s="226" t="s">
        <v>950</v>
      </c>
      <c r="V11" s="442">
        <v>0</v>
      </c>
    </row>
    <row r="12" spans="1:22" s="2244" customFormat="1" ht="15" hidden="1" customHeight="1">
      <c r="C12" s="609"/>
      <c r="U12" s="357"/>
      <c r="V12" s="354">
        <v>0</v>
      </c>
    </row>
    <row r="13" spans="1:22" ht="33.75" hidden="1" customHeight="1">
      <c r="A13" s="442"/>
      <c r="B13" s="2593"/>
      <c r="C13" s="2594" t="s">
        <v>575</v>
      </c>
      <c r="D13" s="626" t="str">
        <f>B13&amp;".1"</f>
        <v>.1</v>
      </c>
      <c r="E13" s="627" t="s">
        <v>951</v>
      </c>
      <c r="F13" s="628" t="s">
        <v>304</v>
      </c>
      <c r="G13" s="634" t="s">
        <v>22</v>
      </c>
      <c r="H13" s="338" t="s">
        <v>22</v>
      </c>
      <c r="I13" s="634" t="s">
        <v>22</v>
      </c>
      <c r="J13" s="338" t="s">
        <v>22</v>
      </c>
      <c r="K13" s="226" t="s">
        <v>952</v>
      </c>
      <c r="V13" s="442">
        <v>0</v>
      </c>
    </row>
    <row r="14" spans="1:22" ht="15" hidden="1" customHeight="1">
      <c r="B14" s="2593"/>
      <c r="C14" s="2594"/>
      <c r="D14" s="626" t="str">
        <f>B13&amp;".2"</f>
        <v>.2</v>
      </c>
      <c r="E14" s="627" t="s">
        <v>953</v>
      </c>
      <c r="F14" s="628" t="s">
        <v>304</v>
      </c>
      <c r="G14" s="1650" t="s">
        <v>22</v>
      </c>
      <c r="H14" s="338" t="s">
        <v>22</v>
      </c>
      <c r="I14" s="1650" t="s">
        <v>22</v>
      </c>
      <c r="J14" s="338" t="s">
        <v>22</v>
      </c>
      <c r="K14" s="226" t="s">
        <v>954</v>
      </c>
      <c r="V14" s="442">
        <v>0</v>
      </c>
    </row>
    <row r="15" spans="1:22" s="2244" customFormat="1" ht="15" hidden="1" customHeight="1">
      <c r="C15" s="609"/>
      <c r="U15" s="357"/>
      <c r="V15" s="354">
        <v>0</v>
      </c>
    </row>
    <row r="16" spans="1:22" s="2244" customFormat="1" ht="15" hidden="1" customHeight="1">
      <c r="C16" s="609"/>
      <c r="U16" s="357"/>
      <c r="V16" s="354">
        <v>0</v>
      </c>
    </row>
    <row r="17" spans="1:22" s="2244" customFormat="1" ht="15" hidden="1" customHeight="1">
      <c r="C17" s="609"/>
      <c r="U17" s="357"/>
      <c r="V17" s="354">
        <v>0</v>
      </c>
    </row>
    <row r="18" spans="1:22" s="2244" customFormat="1" ht="15" hidden="1" customHeight="1">
      <c r="C18" s="609"/>
      <c r="U18" s="357"/>
      <c r="V18" s="354">
        <v>0</v>
      </c>
    </row>
    <row r="19" spans="1:22" s="2244" customFormat="1" ht="15" hidden="1" customHeight="1">
      <c r="C19" s="609"/>
      <c r="U19" s="357"/>
      <c r="V19" s="354">
        <v>0</v>
      </c>
    </row>
    <row r="20" spans="1:22" s="2244"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46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467"/>
      <c r="F22" s="2467"/>
      <c r="G22" s="2467"/>
      <c r="H22" s="2467"/>
      <c r="I22" s="2467"/>
      <c r="J22" s="613"/>
      <c r="K22" s="474"/>
      <c r="V22" s="442">
        <v>22</v>
      </c>
    </row>
    <row r="23" spans="1:22" ht="15.75" customHeight="1">
      <c r="C23" s="113"/>
      <c r="D23" s="2412" t="str">
        <f>IF(org=0,"Не определено",org)</f>
        <v>МУП "Водоканал"</v>
      </c>
      <c r="E23" s="2412"/>
      <c r="F23" s="2412"/>
      <c r="G23" s="2412"/>
      <c r="H23" s="2412"/>
      <c r="I23" s="2412"/>
      <c r="J23" s="613"/>
      <c r="K23" s="474"/>
      <c r="V23" s="442">
        <v>15</v>
      </c>
    </row>
    <row r="24" spans="1:22" ht="15.75" customHeight="1">
      <c r="C24" s="113"/>
      <c r="D24" s="446"/>
      <c r="E24" s="446"/>
      <c r="F24" s="446"/>
      <c r="G24" s="474">
        <v>22</v>
      </c>
      <c r="H24" s="689"/>
      <c r="I24" s="474">
        <v>22</v>
      </c>
      <c r="J24" s="689"/>
      <c r="V24" s="442">
        <v>15</v>
      </c>
    </row>
    <row r="25" spans="1:22" s="2238" customFormat="1" ht="1.1499999999999999" customHeight="1">
      <c r="A25" s="694"/>
      <c r="C25" s="113"/>
      <c r="D25" s="446"/>
      <c r="E25" s="446"/>
      <c r="F25" s="446"/>
      <c r="G25" s="474"/>
      <c r="H25" s="689"/>
      <c r="I25" s="474" t="s">
        <v>116</v>
      </c>
      <c r="J25" s="689"/>
      <c r="K25" s="354"/>
      <c r="U25" s="612"/>
      <c r="V25" s="693">
        <v>1</v>
      </c>
    </row>
    <row r="26" spans="1:22" ht="15.75" customHeight="1">
      <c r="C26" s="113"/>
      <c r="D26" s="648"/>
      <c r="E26" s="2566" t="s">
        <v>104</v>
      </c>
      <c r="F26" s="2567"/>
      <c r="G26" s="2591" t="str">
        <f>IF(G25="","",INDEX(DIFFERENTIATION_UNMERGE_VD,MATCH(G25,DIFFERENTIATION_ID_DIFF,0)))</f>
        <v/>
      </c>
      <c r="H26" s="2592"/>
      <c r="I26" s="2591" t="str">
        <f>IF(I25="","",INDEX(DIFFERENTIATION_UNMERGE_VD,MATCH(I25,DIFFERENTIATION_ID_DIFF,0)))</f>
        <v>Водоотведение</v>
      </c>
      <c r="J26" s="2592"/>
      <c r="K26" s="2411" t="s">
        <v>299</v>
      </c>
      <c r="V26" s="442">
        <v>15</v>
      </c>
    </row>
    <row r="27" spans="1:22" s="2238" customFormat="1" ht="15.75" customHeight="1">
      <c r="A27" s="694"/>
      <c r="C27" s="113"/>
      <c r="D27" s="648"/>
      <c r="E27" s="2566" t="s">
        <v>562</v>
      </c>
      <c r="F27" s="2567"/>
      <c r="G27" s="2591" t="str">
        <f>IF(G25="","",INDEX(DIFFERENTIATION_UNMERGE_AREA,MATCH(G25,DIFFERENTIATION_ID_DIFF,0)))</f>
        <v/>
      </c>
      <c r="H27" s="2592"/>
      <c r="I27" s="2591" t="str">
        <f>IF(I25="","",INDEX(DIFFERENTIATION_UNMERGE_AREA,MATCH(I25,DIFFERENTIATION_ID_DIFF,0)))</f>
        <v>Территория 1</v>
      </c>
      <c r="J27" s="2592"/>
      <c r="K27" s="2431"/>
      <c r="U27" s="612"/>
      <c r="V27" s="693">
        <v>15</v>
      </c>
    </row>
    <row r="28" spans="1:22" s="2238" customFormat="1" ht="15.75" customHeight="1">
      <c r="A28" s="694"/>
      <c r="C28" s="113"/>
      <c r="D28" s="648"/>
      <c r="E28" s="2566" t="s">
        <v>563</v>
      </c>
      <c r="F28" s="2567"/>
      <c r="G28" s="2591" t="str">
        <f>IF(G25="","",INDEX(DIFFERENTIATION_UNMERGE_SYSTEM,MATCH(G25,DIFFERENTIATION_ID_DIFF,0)))</f>
        <v/>
      </c>
      <c r="H28" s="2592"/>
      <c r="I28" s="2591" t="str">
        <f>IF(I25="","",INDEX(DIFFERENTIATION_UNMERGE_SYSTEM,MATCH(I25,DIFFERENTIATION_ID_DIFF,0)))</f>
        <v>без дифференциации</v>
      </c>
      <c r="J28" s="2592"/>
      <c r="K28" s="2431"/>
      <c r="U28" s="612"/>
      <c r="V28" s="693">
        <v>15</v>
      </c>
    </row>
    <row r="29" spans="1:22" s="2238" customFormat="1" ht="15.75" customHeight="1">
      <c r="A29" s="694"/>
      <c r="C29" s="113"/>
      <c r="D29" s="2568" t="s">
        <v>298</v>
      </c>
      <c r="E29" s="2569"/>
      <c r="F29" s="2569"/>
      <c r="G29" s="813"/>
      <c r="H29" s="813"/>
      <c r="I29" s="813"/>
      <c r="J29" s="814"/>
      <c r="K29" s="2431"/>
      <c r="U29" s="612"/>
      <c r="V29" s="693">
        <v>15</v>
      </c>
    </row>
    <row r="30" spans="1:22" ht="35.65" customHeight="1">
      <c r="C30" s="113"/>
      <c r="D30" s="696" t="s">
        <v>87</v>
      </c>
      <c r="E30" s="695" t="s">
        <v>300</v>
      </c>
      <c r="F30" s="695" t="s">
        <v>564</v>
      </c>
      <c r="G30" s="739" t="s">
        <v>301</v>
      </c>
      <c r="H30" s="738" t="s">
        <v>388</v>
      </c>
      <c r="I30" s="621" t="s">
        <v>301</v>
      </c>
      <c r="J30" s="402" t="s">
        <v>388</v>
      </c>
      <c r="K30" s="2434"/>
      <c r="V30" s="442">
        <v>34</v>
      </c>
    </row>
    <row r="31" spans="1:22" ht="15" hidden="1" customHeight="1">
      <c r="C31" s="113"/>
      <c r="D31" s="530"/>
      <c r="E31" s="530"/>
      <c r="F31" s="530"/>
      <c r="G31" s="596"/>
      <c r="H31" s="596"/>
      <c r="I31" s="596"/>
      <c r="J31" s="596"/>
      <c r="K31" s="226"/>
      <c r="V31" s="442">
        <v>0</v>
      </c>
    </row>
    <row r="32" spans="1:22" ht="24" customHeight="1">
      <c r="A32" s="442"/>
      <c r="B32" s="442" t="s">
        <v>955</v>
      </c>
      <c r="C32" s="463"/>
      <c r="D32" s="629">
        <v>1</v>
      </c>
      <c r="E32" s="630" t="s">
        <v>956</v>
      </c>
      <c r="F32" s="628" t="s">
        <v>304</v>
      </c>
      <c r="G32" s="744" t="s">
        <v>304</v>
      </c>
      <c r="H32" s="744" t="s">
        <v>304</v>
      </c>
      <c r="I32" s="628" t="s">
        <v>304</v>
      </c>
      <c r="J32" s="628" t="s">
        <v>304</v>
      </c>
      <c r="K32" s="226"/>
      <c r="V32" s="442">
        <v>23</v>
      </c>
    </row>
    <row r="33" spans="1:22" ht="11.45" customHeight="1">
      <c r="A33" s="442"/>
      <c r="C33" s="442"/>
      <c r="D33" s="284"/>
      <c r="E33" s="517" t="s">
        <v>587</v>
      </c>
      <c r="F33" s="509"/>
      <c r="G33" s="509"/>
      <c r="H33" s="509"/>
      <c r="I33" s="509"/>
      <c r="J33" s="509"/>
      <c r="K33" s="510"/>
      <c r="U33" s="442"/>
      <c r="V33" s="442">
        <v>11</v>
      </c>
    </row>
    <row r="34" spans="1:22" ht="24" customHeight="1">
      <c r="A34" s="442"/>
      <c r="B34" s="518" t="s">
        <v>637</v>
      </c>
      <c r="C34" s="463"/>
      <c r="D34" s="629">
        <v>2</v>
      </c>
      <c r="E34" s="630" t="s">
        <v>957</v>
      </c>
      <c r="F34" s="751" t="s">
        <v>304</v>
      </c>
      <c r="G34" s="751" t="s">
        <v>304</v>
      </c>
      <c r="H34" s="751" t="s">
        <v>304</v>
      </c>
      <c r="I34" s="628"/>
      <c r="J34" s="628"/>
      <c r="K34" s="226"/>
      <c r="V34" s="442">
        <v>23</v>
      </c>
    </row>
    <row r="35" spans="1:22" ht="11.45" customHeight="1">
      <c r="A35" s="442"/>
      <c r="C35" s="442"/>
      <c r="D35" s="284"/>
      <c r="E35" s="517" t="s">
        <v>958</v>
      </c>
      <c r="F35" s="509"/>
      <c r="G35" s="631"/>
      <c r="H35" s="509"/>
      <c r="I35" s="631"/>
      <c r="J35" s="509"/>
      <c r="K35" s="510"/>
      <c r="U35" s="442"/>
      <c r="V35" s="442">
        <v>11</v>
      </c>
    </row>
    <row r="36" spans="1:22" ht="71.25" customHeight="1">
      <c r="A36" s="442"/>
      <c r="B36" s="442" t="s">
        <v>959</v>
      </c>
      <c r="C36" s="463"/>
      <c r="D36" s="629">
        <v>3</v>
      </c>
      <c r="E36" s="630" t="s">
        <v>960</v>
      </c>
      <c r="F36" s="632" t="s">
        <v>304</v>
      </c>
      <c r="G36" s="745" t="s">
        <v>961</v>
      </c>
      <c r="H36" s="744" t="s">
        <v>304</v>
      </c>
      <c r="I36" s="461" t="s">
        <v>961</v>
      </c>
      <c r="J36" s="628" t="s">
        <v>304</v>
      </c>
      <c r="K36" s="226" t="s">
        <v>962</v>
      </c>
      <c r="V36" s="442">
        <v>68</v>
      </c>
    </row>
    <row r="37" spans="1:22" ht="11.45" customHeight="1">
      <c r="A37" s="442"/>
      <c r="C37" s="442"/>
      <c r="D37" s="284"/>
      <c r="E37" s="517" t="s">
        <v>963</v>
      </c>
      <c r="F37" s="509"/>
      <c r="G37" s="631"/>
      <c r="H37" s="631"/>
      <c r="I37" s="631"/>
      <c r="J37" s="631"/>
      <c r="K37" s="510"/>
      <c r="U37" s="442"/>
      <c r="V37" s="442">
        <v>11</v>
      </c>
    </row>
    <row r="38" spans="1:22" ht="71.25" customHeight="1">
      <c r="A38" s="442"/>
      <c r="B38" s="442" t="s">
        <v>964</v>
      </c>
      <c r="C38" s="463"/>
      <c r="D38" s="629">
        <v>4</v>
      </c>
      <c r="E38" s="630" t="s">
        <v>965</v>
      </c>
      <c r="F38" s="632" t="s">
        <v>304</v>
      </c>
      <c r="G38" s="745" t="s">
        <v>961</v>
      </c>
      <c r="H38" s="746" t="s">
        <v>304</v>
      </c>
      <c r="I38" s="461" t="s">
        <v>961</v>
      </c>
      <c r="J38" s="458" t="s">
        <v>304</v>
      </c>
      <c r="K38" s="616" t="s">
        <v>966</v>
      </c>
      <c r="V38" s="442">
        <v>68</v>
      </c>
    </row>
    <row r="39" spans="1:22" ht="11.45" customHeight="1">
      <c r="A39" s="442"/>
      <c r="C39" s="442"/>
      <c r="D39" s="284"/>
      <c r="E39" s="517" t="s">
        <v>967</v>
      </c>
      <c r="F39" s="509"/>
      <c r="G39" s="509"/>
      <c r="H39" s="633"/>
      <c r="I39" s="509"/>
      <c r="J39" s="633"/>
      <c r="K39" s="510"/>
      <c r="U39" s="442"/>
      <c r="V39" s="442">
        <v>11</v>
      </c>
    </row>
    <row r="40" spans="1:22" ht="22.5" hidden="1" customHeight="1">
      <c r="A40" s="386" t="s">
        <v>81</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E18"/>
  <sheetViews>
    <sheetView showGridLines="0" topLeftCell="E4" zoomScale="85" workbookViewId="0">
      <selection activeCell="AC17" sqref="AC17"/>
    </sheetView>
  </sheetViews>
  <sheetFormatPr defaultColWidth="9.140625" defaultRowHeight="10.5" customHeight="1"/>
  <cols>
    <col min="1" max="3" width="6.7109375" style="2282" hidden="1" customWidth="1"/>
    <col min="4" max="4" width="6.7109375" style="2244" hidden="1" customWidth="1"/>
    <col min="5" max="5" width="3" style="2238" customWidth="1"/>
    <col min="6" max="6" width="6" style="2238" customWidth="1"/>
    <col min="7" max="7" width="37" style="2238" customWidth="1"/>
    <col min="8" max="8" width="16" style="2238" customWidth="1"/>
    <col min="9" max="9" width="13.140625" style="2238" customWidth="1"/>
    <col min="10" max="10" width="19" style="2238" customWidth="1"/>
    <col min="11" max="11" width="19.5703125" style="2238" customWidth="1"/>
    <col min="12" max="12" width="25" style="2238" customWidth="1"/>
    <col min="13" max="13" width="18.5703125" style="2238" customWidth="1"/>
    <col min="14" max="16" width="17" style="2238" customWidth="1"/>
    <col min="17" max="17" width="19" style="2238" customWidth="1"/>
    <col min="18" max="18" width="10.28515625" style="2238" customWidth="1"/>
    <col min="19" max="19" width="8.42578125" style="2238" customWidth="1"/>
    <col min="20" max="20" width="13.140625" style="2238" customWidth="1"/>
    <col min="21" max="21" width="19" style="2238" customWidth="1"/>
    <col min="22" max="22" width="8.85546875" style="2238" customWidth="1"/>
    <col min="23" max="23" width="7.42578125" style="2238" customWidth="1"/>
    <col min="24" max="24" width="12.42578125" style="2238" customWidth="1"/>
    <col min="25" max="25" width="7" style="2238" customWidth="1"/>
    <col min="26" max="26" width="3" style="2238" customWidth="1"/>
    <col min="27" max="27" width="6" style="2238" customWidth="1"/>
    <col min="28" max="28" width="12.140625" style="2238" customWidth="1"/>
    <col min="29" max="30" width="8" style="2238" customWidth="1"/>
    <col min="31" max="31" width="9.140625" style="2238" hidden="1"/>
  </cols>
  <sheetData>
    <row r="1" spans="1:31" s="2244" customFormat="1" ht="10.5" hidden="1" customHeight="1">
      <c r="A1" s="821"/>
      <c r="B1" s="821"/>
      <c r="C1" s="821"/>
      <c r="E1" s="474"/>
      <c r="H1" s="1079"/>
      <c r="AE1" s="354" t="s">
        <v>14</v>
      </c>
    </row>
    <row r="2" spans="1:31" ht="10.5" hidden="1" customHeight="1">
      <c r="AE2" s="693">
        <v>0</v>
      </c>
    </row>
    <row r="3" spans="1:31" s="2236" customFormat="1" ht="10.5" hidden="1" customHeight="1">
      <c r="A3" s="821"/>
      <c r="B3" s="821"/>
      <c r="C3" s="821"/>
      <c r="D3" s="354"/>
      <c r="E3" s="299"/>
      <c r="G3" s="1551" t="s">
        <v>968</v>
      </c>
      <c r="H3" s="1075"/>
      <c r="AE3" s="694">
        <v>0</v>
      </c>
    </row>
    <row r="4" spans="1:31" ht="3" customHeight="1">
      <c r="AE4" s="693">
        <v>3</v>
      </c>
    </row>
    <row r="5" spans="1:31" ht="27.4" customHeight="1">
      <c r="F5" s="2467" t="str">
        <f>IP_NAME_FORM</f>
        <v>Форма 7. Информация об инвестиционных программах организации водоотведения и отчетах об их исполнении</v>
      </c>
      <c r="G5" s="2467"/>
      <c r="H5" s="2467"/>
      <c r="I5" s="2467"/>
      <c r="J5" s="2467"/>
      <c r="K5" s="2467"/>
      <c r="M5" s="519"/>
      <c r="AB5" s="832"/>
      <c r="AE5" s="693">
        <v>26</v>
      </c>
    </row>
    <row r="6" spans="1:31" s="2238" customFormat="1" ht="16.899999999999999" customHeight="1">
      <c r="A6" s="1085"/>
      <c r="B6" s="1085"/>
      <c r="C6" s="1085"/>
      <c r="D6" s="1079"/>
      <c r="E6" s="1554"/>
      <c r="F6" s="2412" t="str">
        <f>IF(org=0,"Не определено",org)</f>
        <v>МУП "Водоканал"</v>
      </c>
      <c r="G6" s="2412"/>
      <c r="H6" s="2412"/>
      <c r="I6" s="2412"/>
      <c r="J6" s="2412"/>
      <c r="K6" s="2412"/>
      <c r="M6" s="519"/>
      <c r="AB6" s="1068"/>
      <c r="AE6" s="1550">
        <v>16</v>
      </c>
    </row>
    <row r="7" spans="1:31" ht="10.5" customHeight="1">
      <c r="AE7" s="693">
        <v>10</v>
      </c>
    </row>
    <row r="8" spans="1:31" ht="10.5" customHeight="1">
      <c r="A8" s="975"/>
      <c r="B8" s="975"/>
      <c r="C8" s="975"/>
      <c r="F8" s="2335" t="s">
        <v>298</v>
      </c>
      <c r="G8" s="2340"/>
      <c r="H8" s="2340"/>
      <c r="I8" s="2340"/>
      <c r="J8" s="2340"/>
      <c r="K8" s="2340"/>
      <c r="L8" s="2340"/>
      <c r="M8" s="2340"/>
      <c r="N8" s="2340"/>
      <c r="O8" s="2340"/>
      <c r="P8" s="2340"/>
      <c r="Q8" s="2340"/>
      <c r="R8" s="2340"/>
      <c r="S8" s="2340"/>
      <c r="T8" s="2340"/>
      <c r="U8" s="2340"/>
      <c r="V8" s="2340"/>
      <c r="W8" s="2340"/>
      <c r="X8" s="2340"/>
      <c r="Y8" s="2340"/>
      <c r="Z8" s="2340"/>
      <c r="AA8" s="2340"/>
      <c r="AB8" s="2334"/>
      <c r="AE8" s="693">
        <v>10</v>
      </c>
    </row>
    <row r="9" spans="1:31" ht="43.15" customHeight="1">
      <c r="A9" s="831"/>
      <c r="B9" s="831"/>
      <c r="C9" s="831"/>
      <c r="F9" s="2363" t="s">
        <v>87</v>
      </c>
      <c r="G9" s="2363" t="s">
        <v>968</v>
      </c>
      <c r="H9" s="2411" t="s">
        <v>969</v>
      </c>
      <c r="I9" s="2363" t="s">
        <v>970</v>
      </c>
      <c r="J9" s="2363" t="s">
        <v>971</v>
      </c>
      <c r="K9" s="2363" t="s">
        <v>972</v>
      </c>
      <c r="L9" s="2363" t="s">
        <v>973</v>
      </c>
      <c r="M9" s="2363" t="s">
        <v>974</v>
      </c>
      <c r="N9" s="2442" t="s">
        <v>975</v>
      </c>
      <c r="O9" s="2442"/>
      <c r="P9" s="2442"/>
      <c r="Q9" s="2492" t="s">
        <v>976</v>
      </c>
      <c r="R9" s="2493"/>
      <c r="S9" s="2493"/>
      <c r="T9" s="2494"/>
      <c r="U9" s="2492" t="s">
        <v>977</v>
      </c>
      <c r="V9" s="2493"/>
      <c r="W9" s="2493"/>
      <c r="X9" s="2494"/>
      <c r="Y9" s="2335" t="s">
        <v>978</v>
      </c>
      <c r="Z9" s="2340"/>
      <c r="AA9" s="2340"/>
      <c r="AB9" s="2334"/>
      <c r="AE9" s="693">
        <v>41</v>
      </c>
    </row>
    <row r="10" spans="1:31" ht="43.15" customHeight="1">
      <c r="A10" s="831"/>
      <c r="B10" s="831"/>
      <c r="C10" s="831"/>
      <c r="F10" s="2411"/>
      <c r="G10" s="2411"/>
      <c r="H10" s="2462"/>
      <c r="I10" s="2411"/>
      <c r="J10" s="2411"/>
      <c r="K10" s="2411"/>
      <c r="L10" s="2411"/>
      <c r="M10" s="2411"/>
      <c r="N10" s="829" t="s">
        <v>979</v>
      </c>
      <c r="O10" s="829" t="s">
        <v>980</v>
      </c>
      <c r="P10" s="830" t="s">
        <v>981</v>
      </c>
      <c r="Q10" s="841" t="s">
        <v>88</v>
      </c>
      <c r="R10" s="841" t="s">
        <v>982</v>
      </c>
      <c r="S10" s="841" t="s">
        <v>983</v>
      </c>
      <c r="T10" s="842" t="s">
        <v>984</v>
      </c>
      <c r="U10" s="841" t="s">
        <v>88</v>
      </c>
      <c r="V10" s="841" t="s">
        <v>985</v>
      </c>
      <c r="W10" s="841" t="s">
        <v>983</v>
      </c>
      <c r="X10" s="842" t="s">
        <v>984</v>
      </c>
      <c r="Y10" s="238" t="s">
        <v>986</v>
      </c>
      <c r="Z10" s="2335" t="s">
        <v>87</v>
      </c>
      <c r="AA10" s="2334"/>
      <c r="AB10" s="973" t="s">
        <v>987</v>
      </c>
      <c r="AE10" s="693">
        <v>41</v>
      </c>
    </row>
    <row r="11" spans="1:31" s="2245" customFormat="1" ht="5.25" hidden="1" customHeight="1">
      <c r="A11" s="976"/>
      <c r="B11" s="976"/>
      <c r="C11" s="976"/>
      <c r="E11" s="974"/>
      <c r="F11" s="2599" t="s">
        <v>374</v>
      </c>
      <c r="G11" s="2596"/>
      <c r="H11" s="2595"/>
      <c r="I11" s="2595"/>
      <c r="J11" s="2595"/>
      <c r="K11" s="2597"/>
      <c r="L11" s="2597"/>
      <c r="M11" s="2597"/>
      <c r="N11" s="2595"/>
      <c r="O11" s="2595"/>
      <c r="P11" s="2363"/>
      <c r="Q11" s="2415"/>
      <c r="R11" s="2415"/>
      <c r="S11" s="2415"/>
      <c r="T11" s="2595"/>
      <c r="U11" s="2415"/>
      <c r="V11" s="2415"/>
      <c r="W11" s="2415"/>
      <c r="X11" s="2595"/>
      <c r="Y11" s="2345"/>
      <c r="Z11" s="2345"/>
      <c r="AA11" s="2345"/>
      <c r="AB11" s="2345"/>
      <c r="AD11" s="448" t="s">
        <v>988</v>
      </c>
      <c r="AE11" s="448">
        <v>0</v>
      </c>
    </row>
    <row r="12" spans="1:31" s="2245" customFormat="1" ht="5.25" hidden="1" customHeight="1">
      <c r="A12" s="822"/>
      <c r="B12" s="822"/>
      <c r="C12" s="822"/>
      <c r="E12" s="455"/>
      <c r="F12" s="2599"/>
      <c r="G12" s="2596"/>
      <c r="H12" s="2595"/>
      <c r="I12" s="2595"/>
      <c r="J12" s="2595"/>
      <c r="K12" s="2597"/>
      <c r="L12" s="2597"/>
      <c r="M12" s="2597"/>
      <c r="N12" s="2595"/>
      <c r="O12" s="2595"/>
      <c r="P12" s="2363"/>
      <c r="Q12" s="2415"/>
      <c r="R12" s="2415"/>
      <c r="S12" s="2415"/>
      <c r="T12" s="2595"/>
      <c r="U12" s="2415"/>
      <c r="V12" s="2415"/>
      <c r="W12" s="2415"/>
      <c r="X12" s="2595"/>
      <c r="Y12" s="2598"/>
      <c r="Z12" s="2598"/>
      <c r="AA12" s="2598"/>
      <c r="AB12" s="2598"/>
      <c r="AE12" s="448">
        <v>0</v>
      </c>
    </row>
    <row r="13" spans="1:31" ht="27" customHeight="1">
      <c r="A13" s="1085"/>
      <c r="B13" s="1085"/>
      <c r="C13" s="1085"/>
      <c r="D13" s="1079"/>
      <c r="E13" s="2615" t="s">
        <v>575</v>
      </c>
      <c r="F13" s="2608" t="s">
        <v>108</v>
      </c>
      <c r="G13" s="2609" t="s">
        <v>989</v>
      </c>
      <c r="H13" s="2610" t="s">
        <v>64</v>
      </c>
      <c r="I13" s="2612">
        <v>43671.381018518521</v>
      </c>
      <c r="J13" s="2603">
        <v>45245.381342592591</v>
      </c>
      <c r="K13" s="2614" t="s">
        <v>990</v>
      </c>
      <c r="L13" s="2605" t="s">
        <v>991</v>
      </c>
      <c r="M13" s="2605" t="s">
        <v>992</v>
      </c>
      <c r="N13" s="2606" t="s">
        <v>993</v>
      </c>
      <c r="O13" s="2606" t="s">
        <v>994</v>
      </c>
      <c r="P13" s="2607" t="str">
        <f>DATEDIF(DATEVALUE(N13),DATEVALUE(O13),"y")&amp;"г. "&amp;DATEDIF(DATEVALUE(N13),DATEVALUE(O13),"ym")&amp;"мес. "&amp;DATEVALUE(O13)-DATE(YEAR(DATEVALUE(O13)),MONTH(DATEVALUE(O13)),1)&amp;"дн. "</f>
        <v xml:space="preserve">4г. 11мес. 30дн. </v>
      </c>
      <c r="Q13" s="2602" t="s">
        <v>995</v>
      </c>
      <c r="R13" s="2602" t="s">
        <v>996</v>
      </c>
      <c r="S13" s="2602" t="s">
        <v>997</v>
      </c>
      <c r="T13" s="2603" t="s">
        <v>998</v>
      </c>
      <c r="U13" s="2602" t="s">
        <v>999</v>
      </c>
      <c r="V13" s="2602" t="s">
        <v>996</v>
      </c>
      <c r="W13" s="2602">
        <v>293</v>
      </c>
      <c r="X13" s="2603">
        <v>45245.383946759262</v>
      </c>
      <c r="Y13" s="2600" t="s">
        <v>19</v>
      </c>
      <c r="Z13" s="1726"/>
      <c r="AA13" s="1710">
        <v>1</v>
      </c>
      <c r="AB13" s="2005" t="s">
        <v>22</v>
      </c>
      <c r="AC13" s="2006"/>
      <c r="AD13" s="1555" t="s">
        <v>1000</v>
      </c>
      <c r="AE13" s="2006"/>
    </row>
    <row r="14" spans="1:31" ht="36" customHeight="1">
      <c r="A14" s="1085"/>
      <c r="B14" s="1085"/>
      <c r="C14" s="1085"/>
      <c r="D14" s="1079"/>
      <c r="E14" s="2616"/>
      <c r="F14" s="2608" t="s">
        <v>374</v>
      </c>
      <c r="G14" s="2609"/>
      <c r="H14" s="2611"/>
      <c r="I14" s="2613"/>
      <c r="J14" s="2604"/>
      <c r="K14" s="2614"/>
      <c r="L14" s="2605"/>
      <c r="M14" s="2605"/>
      <c r="N14" s="2606"/>
      <c r="O14" s="2606"/>
      <c r="P14" s="2607"/>
      <c r="Q14" s="2602"/>
      <c r="R14" s="2602"/>
      <c r="S14" s="2602"/>
      <c r="T14" s="2604"/>
      <c r="U14" s="2602"/>
      <c r="V14" s="2602"/>
      <c r="W14" s="2602"/>
      <c r="X14" s="2604"/>
      <c r="Y14" s="2601"/>
      <c r="Z14" s="284"/>
      <c r="AA14" s="509"/>
      <c r="AB14" s="589" t="s">
        <v>1001</v>
      </c>
      <c r="AC14" s="2006"/>
      <c r="AD14" s="2006"/>
      <c r="AE14" s="2006"/>
    </row>
    <row r="15" spans="1:31" ht="10.5" customHeight="1">
      <c r="F15" s="828"/>
      <c r="G15" s="587" t="s">
        <v>1002</v>
      </c>
      <c r="H15" s="1087"/>
      <c r="I15" s="509"/>
      <c r="J15" s="509"/>
      <c r="K15" s="509"/>
      <c r="L15" s="509"/>
      <c r="M15" s="509"/>
      <c r="N15" s="509"/>
      <c r="O15" s="509"/>
      <c r="P15" s="509"/>
      <c r="Q15" s="509"/>
      <c r="R15" s="509"/>
      <c r="S15" s="509"/>
      <c r="T15" s="509"/>
      <c r="U15" s="509"/>
      <c r="V15" s="509"/>
      <c r="W15" s="509"/>
      <c r="X15" s="509"/>
      <c r="Y15" s="509"/>
      <c r="Z15" s="633"/>
      <c r="AA15" s="633"/>
      <c r="AB15" s="843"/>
      <c r="AE15" s="693">
        <v>10</v>
      </c>
    </row>
    <row r="16" spans="1:31" ht="10.5" customHeight="1">
      <c r="AE16" s="693">
        <v>10</v>
      </c>
    </row>
    <row r="17" spans="1:31" s="2245" customFormat="1" ht="10.5" customHeight="1">
      <c r="A17" s="1086"/>
      <c r="B17" s="1086"/>
      <c r="C17" s="1086"/>
      <c r="E17" s="455"/>
      <c r="H17" s="448">
        <f>IFERROR(MATCH("нет",IP_MAIN_DIFFERENTIATION_EVENTS_FLAG,0),0)</f>
        <v>0</v>
      </c>
      <c r="AE17" s="448">
        <v>10</v>
      </c>
    </row>
    <row r="18" spans="1:31" ht="10.5" hidden="1" customHeight="1">
      <c r="A18" s="821" t="s">
        <v>81</v>
      </c>
      <c r="B18" s="821">
        <v>0</v>
      </c>
      <c r="C18" s="821">
        <v>0</v>
      </c>
      <c r="D18" s="354">
        <v>0</v>
      </c>
      <c r="E18" s="446">
        <v>3</v>
      </c>
      <c r="F18" s="693">
        <v>6</v>
      </c>
      <c r="G18" s="693">
        <v>37</v>
      </c>
      <c r="H18" s="1074">
        <v>16</v>
      </c>
      <c r="I18" s="693">
        <v>19</v>
      </c>
      <c r="J18" s="693">
        <v>19</v>
      </c>
      <c r="K18" s="693">
        <v>24</v>
      </c>
      <c r="L18" s="693">
        <v>25</v>
      </c>
      <c r="M18" s="693">
        <v>25</v>
      </c>
      <c r="N18" s="693">
        <v>17</v>
      </c>
      <c r="O18" s="693">
        <v>17</v>
      </c>
      <c r="P18" s="693">
        <v>17</v>
      </c>
      <c r="Q18" s="693">
        <v>19</v>
      </c>
      <c r="R18" s="693">
        <v>19</v>
      </c>
      <c r="S18" s="693">
        <v>19</v>
      </c>
      <c r="T18" s="693">
        <v>19</v>
      </c>
      <c r="U18" s="693">
        <v>19</v>
      </c>
      <c r="V18" s="693">
        <v>19</v>
      </c>
      <c r="W18" s="693">
        <v>19</v>
      </c>
      <c r="X18" s="693">
        <v>19</v>
      </c>
      <c r="Y18" s="693">
        <v>7</v>
      </c>
      <c r="Z18" s="693">
        <v>3</v>
      </c>
      <c r="AA18" s="693">
        <v>6</v>
      </c>
      <c r="AB18" s="693">
        <v>34</v>
      </c>
      <c r="AC18" s="693">
        <v>8</v>
      </c>
      <c r="AD18" s="693">
        <v>8</v>
      </c>
      <c r="AE18" s="693">
        <v>10</v>
      </c>
    </row>
  </sheetData>
  <sheetProtection formatColumns="0" formatRows="0" insertRows="0" deleteColumns="0" deleteRows="0" sort="0" autoFilter="0"/>
  <mergeCells count="60">
    <mergeCell ref="E13:E14"/>
    <mergeCell ref="V13:V14"/>
    <mergeCell ref="L13:L14"/>
    <mergeCell ref="U13:U14"/>
    <mergeCell ref="F13:F14"/>
    <mergeCell ref="G13:G14"/>
    <mergeCell ref="H13:H14"/>
    <mergeCell ref="I13:I14"/>
    <mergeCell ref="J13:J14"/>
    <mergeCell ref="K13:K14"/>
    <mergeCell ref="Y13:Y14"/>
    <mergeCell ref="S13:S14"/>
    <mergeCell ref="T13:T14"/>
    <mergeCell ref="M13:M14"/>
    <mergeCell ref="N13:N14"/>
    <mergeCell ref="O13:O14"/>
    <mergeCell ref="Q13:Q14"/>
    <mergeCell ref="R13:R14"/>
    <mergeCell ref="W13:W14"/>
    <mergeCell ref="X13:X14"/>
    <mergeCell ref="P13:P14"/>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dataValidations count="15">
    <dataValidation allowBlank="1" showInputMessage="1" showErrorMessage="1" promptTitle="Ввод" prompt="Для выбора ИП необходимо два раза нажать левую кнопку мыши!" sqref="G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S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U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W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AB13">
      <formula1>900</formula1>
    </dataValidation>
  </dataValidations>
  <pageMargins left="0.70866141732283472" right="0.70866141732283472" top="0.74803149606299213" bottom="0.74803149606299213" header="0.31496062992125984" footer="0.31496062992125984"/>
  <pageSetup paperSize="9" scale="42" orientation="landscape" r:id="rId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BG79"/>
  <sheetViews>
    <sheetView showGridLines="0" topLeftCell="E25" zoomScale="90" workbookViewId="0">
      <selection activeCell="F5" sqref="F5:AK74"/>
    </sheetView>
  </sheetViews>
  <sheetFormatPr defaultColWidth="9.140625" defaultRowHeight="10.5" customHeight="1"/>
  <cols>
    <col min="1" max="3" width="4.140625" style="2282" hidden="1" customWidth="1"/>
    <col min="4" max="4" width="4.140625" style="2244" hidden="1" customWidth="1"/>
    <col min="5" max="5" width="3" style="2238" customWidth="1"/>
    <col min="6" max="6" width="14" style="2238" customWidth="1"/>
    <col min="7" max="7" width="3" style="2238" customWidth="1"/>
    <col min="8" max="8" width="7" style="2238" customWidth="1"/>
    <col min="9" max="10" width="16" style="2238" customWidth="1"/>
    <col min="11" max="11" width="25" style="2238" hidden="1" customWidth="1"/>
    <col min="12" max="12" width="7" style="2238" hidden="1" customWidth="1"/>
    <col min="13" max="13" width="15" style="2238" hidden="1" customWidth="1"/>
    <col min="14" max="14" width="3" style="2238" hidden="1" customWidth="1"/>
    <col min="15" max="15" width="4" style="2238" hidden="1" customWidth="1"/>
    <col min="16" max="16" width="8" style="2238" hidden="1" customWidth="1"/>
    <col min="17" max="17" width="21" style="2238" hidden="1" customWidth="1"/>
    <col min="18" max="18" width="14" style="2238" hidden="1" customWidth="1"/>
    <col min="19" max="20" width="17" style="2238" hidden="1" customWidth="1"/>
    <col min="21" max="21" width="9" style="2238" hidden="1" customWidth="1"/>
    <col min="22" max="22" width="12" style="2238" hidden="1" customWidth="1"/>
    <col min="23" max="23" width="9" style="2238" hidden="1" customWidth="1"/>
    <col min="24" max="24" width="21" style="2238" hidden="1" customWidth="1"/>
    <col min="25" max="25" width="12" style="2238" hidden="1" customWidth="1"/>
    <col min="26" max="26" width="3" style="2238" customWidth="1"/>
    <col min="27" max="27" width="6" style="2238" customWidth="1"/>
    <col min="28" max="28" width="38" style="2238" customWidth="1"/>
    <col min="29" max="29" width="15" style="2238" customWidth="1"/>
    <col min="30" max="30" width="37.5703125" style="2238" customWidth="1"/>
    <col min="31" max="31" width="15.7109375" style="2238" customWidth="1"/>
    <col min="32" max="34" width="16" style="2238" customWidth="1"/>
    <col min="35" max="37" width="16.7109375" style="2238" customWidth="1"/>
    <col min="38" max="58" width="8" style="2238" customWidth="1"/>
    <col min="59" max="59" width="9.140625" style="2238" hidden="1"/>
  </cols>
  <sheetData>
    <row r="1" spans="1:59" s="2244" customFormat="1" ht="10.5" hidden="1" customHeight="1">
      <c r="A1" s="821"/>
      <c r="B1" s="821"/>
      <c r="C1" s="821"/>
      <c r="E1" s="474"/>
      <c r="H1" s="1079"/>
      <c r="L1" s="1048"/>
      <c r="M1" s="1048"/>
      <c r="AD1" s="1048"/>
      <c r="AH1" s="1067"/>
      <c r="AI1" s="1060"/>
      <c r="BG1" s="354" t="s">
        <v>14</v>
      </c>
    </row>
    <row r="2" spans="1:59" ht="10.5" hidden="1" customHeight="1">
      <c r="BG2" s="693">
        <v>0</v>
      </c>
    </row>
    <row r="3" spans="1:59" s="2236" customFormat="1" ht="10.5" hidden="1" customHeight="1">
      <c r="A3" s="821"/>
      <c r="B3" s="821"/>
      <c r="C3" s="821"/>
      <c r="D3" s="354"/>
      <c r="E3" s="299"/>
      <c r="H3" s="1075"/>
      <c r="L3" s="1046"/>
      <c r="M3" s="1046"/>
      <c r="AD3" s="1046"/>
      <c r="AH3" s="1065"/>
      <c r="AI3" s="1058"/>
      <c r="BG3" s="694">
        <v>0</v>
      </c>
    </row>
    <row r="4" spans="1:59" ht="3" customHeight="1">
      <c r="BG4" s="693">
        <v>3</v>
      </c>
    </row>
    <row r="5" spans="1:59" ht="27.4" customHeight="1">
      <c r="F5" s="2467" t="str">
        <f>IP_NAME_FORM</f>
        <v>Форма 7. Информация об инвестиционных программах организации водоотведения и отчетах об их исполнении</v>
      </c>
      <c r="G5" s="2467"/>
      <c r="H5" s="2467"/>
      <c r="I5" s="2467"/>
      <c r="J5" s="2467"/>
      <c r="K5" s="2467"/>
      <c r="L5" s="1055"/>
      <c r="M5" s="1055"/>
      <c r="AG5" s="832"/>
      <c r="AH5" s="1068"/>
      <c r="BG5" s="693">
        <v>26</v>
      </c>
    </row>
    <row r="6" spans="1:59" ht="10.5" customHeight="1">
      <c r="F6" s="2412" t="str">
        <f>IF(org=0,"Не определено",org)</f>
        <v>МУП "Водоканал"</v>
      </c>
      <c r="G6" s="2412"/>
      <c r="H6" s="2412"/>
      <c r="I6" s="2412"/>
      <c r="J6" s="2412"/>
      <c r="K6" s="2412"/>
      <c r="L6" s="1056"/>
      <c r="M6" s="1056"/>
      <c r="BG6" s="693">
        <v>10</v>
      </c>
    </row>
    <row r="7" spans="1:59" ht="11.45" customHeight="1">
      <c r="E7" s="834"/>
      <c r="F7" s="845"/>
      <c r="G7" s="845"/>
      <c r="H7" s="1103"/>
      <c r="I7" s="845"/>
      <c r="J7" s="845"/>
      <c r="K7" s="847"/>
      <c r="L7" s="1053"/>
      <c r="M7" s="1053"/>
      <c r="N7" s="845"/>
      <c r="O7" s="845"/>
      <c r="P7" s="845"/>
      <c r="Q7" s="847"/>
      <c r="R7" s="845"/>
      <c r="S7" s="845"/>
      <c r="T7" s="845"/>
      <c r="U7" s="845"/>
      <c r="V7" s="845"/>
      <c r="W7" s="845"/>
      <c r="X7" s="845"/>
      <c r="Y7" s="845"/>
      <c r="Z7" s="845"/>
      <c r="AA7" s="845"/>
      <c r="AB7" s="845"/>
      <c r="AC7" s="846"/>
      <c r="AD7" s="1052"/>
      <c r="AE7" s="846"/>
      <c r="AF7" s="845"/>
      <c r="AG7" s="845"/>
      <c r="AH7" s="1070"/>
      <c r="AI7" s="1063"/>
      <c r="AJ7" s="845"/>
      <c r="AK7" s="845"/>
      <c r="AL7" s="836"/>
      <c r="AM7" s="836"/>
      <c r="AN7" s="836"/>
      <c r="AO7" s="833"/>
      <c r="AP7" s="833"/>
      <c r="AQ7" s="833"/>
      <c r="AR7" s="833"/>
      <c r="AS7" s="833"/>
      <c r="AT7" s="833"/>
      <c r="AU7" s="833"/>
      <c r="AV7" s="833"/>
      <c r="AW7" s="833"/>
      <c r="AX7" s="833"/>
      <c r="AY7" s="833"/>
      <c r="AZ7" s="833"/>
      <c r="BA7" s="833"/>
      <c r="BB7" s="833"/>
      <c r="BC7" s="833"/>
      <c r="BD7" s="833"/>
      <c r="BE7" s="833"/>
      <c r="BF7" s="833"/>
      <c r="BG7" s="693">
        <v>11</v>
      </c>
    </row>
    <row r="8" spans="1:59" ht="10.5" customHeight="1">
      <c r="E8" s="834"/>
      <c r="F8" s="2619" t="s">
        <v>298</v>
      </c>
      <c r="G8" s="2620"/>
      <c r="H8" s="2620"/>
      <c r="I8" s="2620"/>
      <c r="J8" s="2620"/>
      <c r="K8" s="2620"/>
      <c r="L8" s="2620"/>
      <c r="M8" s="2620"/>
      <c r="N8" s="2620"/>
      <c r="O8" s="2620"/>
      <c r="P8" s="2620"/>
      <c r="Q8" s="2620"/>
      <c r="R8" s="2620"/>
      <c r="S8" s="2620"/>
      <c r="T8" s="2620"/>
      <c r="U8" s="2620"/>
      <c r="V8" s="2620"/>
      <c r="W8" s="2620"/>
      <c r="X8" s="2620"/>
      <c r="Y8" s="2620"/>
      <c r="Z8" s="2620"/>
      <c r="AA8" s="2620"/>
      <c r="AB8" s="2620"/>
      <c r="AC8" s="2620"/>
      <c r="AD8" s="2620"/>
      <c r="AE8" s="2620"/>
      <c r="AF8" s="2620"/>
      <c r="AG8" s="2620"/>
      <c r="AH8" s="2620"/>
      <c r="AI8" s="2620"/>
      <c r="AJ8" s="2620"/>
      <c r="AK8" s="2621"/>
      <c r="AL8" s="835"/>
      <c r="AM8" s="833"/>
      <c r="AN8" s="833"/>
      <c r="AO8" s="833"/>
      <c r="AP8" s="833"/>
      <c r="AQ8" s="833"/>
      <c r="AR8" s="833"/>
      <c r="AS8" s="833"/>
      <c r="AT8" s="833"/>
      <c r="AU8" s="833"/>
      <c r="AV8" s="833"/>
      <c r="AW8" s="833"/>
      <c r="AX8" s="833"/>
      <c r="AY8" s="833"/>
      <c r="AZ8" s="833"/>
      <c r="BA8" s="833"/>
      <c r="BB8" s="833"/>
      <c r="BC8" s="833"/>
      <c r="BD8" s="833"/>
      <c r="BE8" s="833"/>
      <c r="BF8" s="833"/>
      <c r="BG8" s="693">
        <v>10</v>
      </c>
    </row>
    <row r="9" spans="1:59" ht="24" customHeight="1">
      <c r="A9" s="831"/>
      <c r="B9" s="831"/>
      <c r="C9" s="831"/>
      <c r="E9" s="834"/>
      <c r="F9" s="2442" t="s">
        <v>1003</v>
      </c>
      <c r="G9" s="2536" t="s">
        <v>1004</v>
      </c>
      <c r="H9" s="2584"/>
      <c r="I9" s="2363" t="s">
        <v>1005</v>
      </c>
      <c r="J9" s="2363"/>
      <c r="K9" s="2363" t="s">
        <v>1006</v>
      </c>
      <c r="L9" s="2363"/>
      <c r="M9" s="2363"/>
      <c r="N9" s="2363"/>
      <c r="O9" s="2363"/>
      <c r="P9" s="2363"/>
      <c r="Q9" s="2363"/>
      <c r="R9" s="2363"/>
      <c r="S9" s="2363"/>
      <c r="T9" s="2363"/>
      <c r="U9" s="2363"/>
      <c r="V9" s="2363"/>
      <c r="W9" s="2363"/>
      <c r="X9" s="2363"/>
      <c r="Y9" s="2363"/>
      <c r="Z9" s="2428" t="s">
        <v>1007</v>
      </c>
      <c r="AA9" s="2429"/>
      <c r="AB9" s="2363" t="s">
        <v>1008</v>
      </c>
      <c r="AC9" s="2363"/>
      <c r="AD9" s="2363"/>
      <c r="AE9" s="2363"/>
      <c r="AF9" s="2411" t="s">
        <v>1009</v>
      </c>
      <c r="AG9" s="2363" t="s">
        <v>1010</v>
      </c>
      <c r="AH9" s="2363"/>
      <c r="AI9" s="2411" t="s">
        <v>1011</v>
      </c>
      <c r="AJ9" s="2363" t="s">
        <v>1012</v>
      </c>
      <c r="AK9" s="2363"/>
      <c r="AL9" s="1062"/>
      <c r="AM9" s="833"/>
      <c r="AN9" s="833"/>
      <c r="AO9" s="833"/>
      <c r="AP9" s="833"/>
      <c r="AQ9" s="833"/>
      <c r="AR9" s="833"/>
      <c r="AS9" s="833"/>
      <c r="AT9" s="833"/>
      <c r="AU9" s="833"/>
      <c r="AV9" s="833"/>
      <c r="AW9" s="833"/>
      <c r="AX9" s="833"/>
      <c r="AY9" s="833"/>
      <c r="AZ9" s="833"/>
      <c r="BA9" s="833"/>
      <c r="BB9" s="833"/>
      <c r="BC9" s="833"/>
      <c r="BD9" s="833"/>
      <c r="BE9" s="833"/>
      <c r="BF9" s="833"/>
      <c r="BG9" s="693">
        <v>23</v>
      </c>
    </row>
    <row r="10" spans="1:59" ht="25.15" customHeight="1">
      <c r="A10" s="831"/>
      <c r="B10" s="831"/>
      <c r="C10" s="831"/>
      <c r="E10" s="838"/>
      <c r="F10" s="2442"/>
      <c r="G10" s="2537"/>
      <c r="H10" s="2446"/>
      <c r="I10" s="2363"/>
      <c r="J10" s="2363"/>
      <c r="K10" s="2363" t="s">
        <v>1013</v>
      </c>
      <c r="L10" s="2335" t="s">
        <v>1014</v>
      </c>
      <c r="M10" s="2334"/>
      <c r="N10" s="2363" t="s">
        <v>1015</v>
      </c>
      <c r="O10" s="2363"/>
      <c r="P10" s="2363"/>
      <c r="Q10" s="2363"/>
      <c r="R10" s="2363"/>
      <c r="S10" s="2363"/>
      <c r="T10" s="2363"/>
      <c r="U10" s="2363"/>
      <c r="V10" s="2363"/>
      <c r="W10" s="2363"/>
      <c r="X10" s="2363"/>
      <c r="Y10" s="2363"/>
      <c r="Z10" s="2430"/>
      <c r="AA10" s="2431"/>
      <c r="AB10" s="2363"/>
      <c r="AC10" s="2363"/>
      <c r="AD10" s="2363"/>
      <c r="AE10" s="2363"/>
      <c r="AF10" s="2432"/>
      <c r="AG10" s="2363"/>
      <c r="AH10" s="2363"/>
      <c r="AI10" s="2432"/>
      <c r="AJ10" s="2363"/>
      <c r="AK10" s="2363"/>
      <c r="AL10" s="1062"/>
      <c r="AM10" s="839"/>
      <c r="AN10" s="839"/>
      <c r="AO10" s="839"/>
      <c r="AP10" s="839"/>
      <c r="AQ10" s="839"/>
      <c r="AR10" s="839"/>
      <c r="AS10" s="839"/>
      <c r="AT10" s="839"/>
      <c r="AU10" s="839"/>
      <c r="AV10" s="839"/>
      <c r="AW10" s="839"/>
      <c r="AX10" s="839"/>
      <c r="AY10" s="839"/>
      <c r="AZ10" s="839"/>
      <c r="BA10" s="839"/>
      <c r="BB10" s="839"/>
      <c r="BC10" s="839"/>
      <c r="BD10" s="839"/>
      <c r="BE10" s="839"/>
      <c r="BF10" s="839"/>
      <c r="BG10" s="693">
        <v>24</v>
      </c>
    </row>
    <row r="11" spans="1:59" s="2238" customFormat="1" ht="25.15" customHeight="1">
      <c r="A11" s="1049"/>
      <c r="B11" s="1049"/>
      <c r="C11" s="1049"/>
      <c r="D11" s="1048"/>
      <c r="E11" s="1050"/>
      <c r="F11" s="2442"/>
      <c r="G11" s="2537"/>
      <c r="H11" s="2446"/>
      <c r="I11" s="2363"/>
      <c r="J11" s="2363"/>
      <c r="K11" s="2363"/>
      <c r="L11" s="2411" t="s">
        <v>1016</v>
      </c>
      <c r="M11" s="2411" t="s">
        <v>1017</v>
      </c>
      <c r="N11" s="2363" t="s">
        <v>1018</v>
      </c>
      <c r="O11" s="2363"/>
      <c r="P11" s="2391" t="s">
        <v>986</v>
      </c>
      <c r="Q11" s="2391" t="s">
        <v>1019</v>
      </c>
      <c r="R11" s="2391" t="s">
        <v>1020</v>
      </c>
      <c r="S11" s="2391" t="s">
        <v>1021</v>
      </c>
      <c r="T11" s="2391"/>
      <c r="U11" s="2391"/>
      <c r="V11" s="2391"/>
      <c r="W11" s="2391"/>
      <c r="X11" s="2391"/>
      <c r="Y11" s="2391"/>
      <c r="Z11" s="2430"/>
      <c r="AA11" s="2431"/>
      <c r="AB11" s="2363" t="s">
        <v>1022</v>
      </c>
      <c r="AC11" s="2363"/>
      <c r="AD11" s="2335" t="s">
        <v>1023</v>
      </c>
      <c r="AE11" s="2334"/>
      <c r="AF11" s="2432"/>
      <c r="AG11" s="2363"/>
      <c r="AH11" s="2363"/>
      <c r="AI11" s="2432"/>
      <c r="AJ11" s="2363"/>
      <c r="AK11" s="2363"/>
      <c r="AL11" s="1062"/>
      <c r="AM11" s="1047"/>
      <c r="AN11" s="1047"/>
      <c r="AO11" s="1047"/>
      <c r="AP11" s="1047"/>
      <c r="AQ11" s="1047"/>
      <c r="AR11" s="1047"/>
      <c r="AS11" s="1047"/>
      <c r="AT11" s="1047"/>
      <c r="AU11" s="1047"/>
      <c r="AV11" s="1047"/>
      <c r="AW11" s="1047"/>
      <c r="AX11" s="1047"/>
      <c r="AY11" s="1047"/>
      <c r="AZ11" s="1047"/>
      <c r="BA11" s="1047"/>
      <c r="BB11" s="1047"/>
      <c r="BC11" s="1047"/>
      <c r="BD11" s="1047"/>
      <c r="BE11" s="1047"/>
      <c r="BF11" s="1047"/>
      <c r="BG11" s="1045">
        <v>24</v>
      </c>
    </row>
    <row r="12" spans="1:59" ht="35.65" customHeight="1">
      <c r="A12" s="831"/>
      <c r="B12" s="831"/>
      <c r="C12" s="831"/>
      <c r="E12" s="834"/>
      <c r="F12" s="2442"/>
      <c r="G12" s="2538"/>
      <c r="H12" s="2618"/>
      <c r="I12" s="1072" t="s">
        <v>88</v>
      </c>
      <c r="J12" s="1072" t="s">
        <v>1024</v>
      </c>
      <c r="K12" s="2363"/>
      <c r="L12" s="2462"/>
      <c r="M12" s="2462"/>
      <c r="N12" s="2363"/>
      <c r="O12" s="2363"/>
      <c r="P12" s="2391"/>
      <c r="Q12" s="2391"/>
      <c r="R12" s="2391"/>
      <c r="S12" s="1054" t="s">
        <v>85</v>
      </c>
      <c r="T12" s="1054" t="s">
        <v>86</v>
      </c>
      <c r="U12" s="1054" t="s">
        <v>84</v>
      </c>
      <c r="V12" s="1054" t="s">
        <v>1025</v>
      </c>
      <c r="W12" s="1054" t="s">
        <v>84</v>
      </c>
      <c r="X12" s="1054" t="s">
        <v>1026</v>
      </c>
      <c r="Y12" s="1054" t="s">
        <v>1027</v>
      </c>
      <c r="Z12" s="2433"/>
      <c r="AA12" s="2434"/>
      <c r="AB12" s="1061" t="s">
        <v>1028</v>
      </c>
      <c r="AC12" s="1061" t="s">
        <v>1029</v>
      </c>
      <c r="AD12" s="1061" t="s">
        <v>1028</v>
      </c>
      <c r="AE12" s="1061" t="s">
        <v>1029</v>
      </c>
      <c r="AF12" s="2462"/>
      <c r="AG12" s="1073" t="s">
        <v>1030</v>
      </c>
      <c r="AH12" s="1073" t="s">
        <v>1031</v>
      </c>
      <c r="AI12" s="2462"/>
      <c r="AJ12" s="1073" t="s">
        <v>1030</v>
      </c>
      <c r="AK12" s="1073" t="s">
        <v>1031</v>
      </c>
      <c r="AL12" s="1062"/>
      <c r="AM12" s="833"/>
      <c r="AN12" s="833"/>
      <c r="AO12" s="833"/>
      <c r="AP12" s="833"/>
      <c r="AQ12" s="833"/>
      <c r="AR12" s="833"/>
      <c r="AS12" s="833"/>
      <c r="AT12" s="833"/>
      <c r="AU12" s="833"/>
      <c r="AV12" s="833"/>
      <c r="AW12" s="833"/>
      <c r="AX12" s="833"/>
      <c r="AY12" s="833"/>
      <c r="AZ12" s="833"/>
      <c r="BA12" s="833"/>
      <c r="BB12" s="833"/>
      <c r="BC12" s="833"/>
      <c r="BD12" s="833"/>
      <c r="BE12" s="833"/>
      <c r="BF12" s="833"/>
      <c r="BG12" s="693">
        <v>34</v>
      </c>
    </row>
    <row r="13" spans="1:59" ht="1.1499999999999999" customHeight="1">
      <c r="E13" s="834"/>
      <c r="F13" s="1044">
        <v>0</v>
      </c>
      <c r="G13" s="1044"/>
      <c r="H13" s="1044"/>
      <c r="I13" s="1044"/>
      <c r="J13" s="1044"/>
      <c r="K13" s="1051"/>
      <c r="L13" s="1051"/>
      <c r="M13" s="1051"/>
      <c r="N13" s="1051"/>
      <c r="O13" s="1051"/>
      <c r="P13" s="1051"/>
      <c r="Q13" s="1051"/>
      <c r="R13" s="1051"/>
      <c r="S13" s="1051"/>
      <c r="T13" s="1051"/>
      <c r="U13" s="1051"/>
      <c r="V13" s="1051"/>
      <c r="W13" s="1051"/>
      <c r="X13" s="1051"/>
      <c r="Y13" s="1051"/>
      <c r="Z13" s="1051"/>
      <c r="AA13" s="1051"/>
      <c r="AB13" s="1051"/>
      <c r="AC13" s="1051"/>
      <c r="AD13" s="1051"/>
      <c r="AE13" s="1051"/>
      <c r="AF13" s="1051"/>
      <c r="AG13" s="1051"/>
      <c r="AH13" s="1069"/>
      <c r="AI13" s="1062"/>
      <c r="AJ13" s="1051"/>
      <c r="AK13" s="1051"/>
      <c r="AL13" s="835"/>
      <c r="AM13" s="833"/>
      <c r="AN13" s="833"/>
      <c r="AO13" s="833"/>
      <c r="AP13" s="833"/>
      <c r="AQ13" s="833"/>
      <c r="AR13" s="833"/>
      <c r="AS13" s="833"/>
      <c r="AT13" s="833"/>
      <c r="AU13" s="833"/>
      <c r="AV13" s="833"/>
      <c r="AW13" s="833"/>
      <c r="AX13" s="833"/>
      <c r="AY13" s="833"/>
      <c r="AZ13" s="833"/>
      <c r="BA13" s="833"/>
      <c r="BB13" s="833"/>
      <c r="BC13" s="833"/>
      <c r="BD13" s="833"/>
      <c r="BE13" s="833"/>
      <c r="BF13" s="833"/>
      <c r="BG13" s="693">
        <v>1</v>
      </c>
    </row>
    <row r="14" spans="1:59" ht="21" customHeight="1">
      <c r="A14" s="1086" t="s">
        <v>1000</v>
      </c>
      <c r="B14" s="1085"/>
      <c r="C14" s="1085"/>
      <c r="D14" s="1079"/>
      <c r="E14" s="1089" t="s">
        <v>22</v>
      </c>
      <c r="F14" s="1042" t="str">
        <f>INDEX(IP_MAIN_LIST_NAME_IP,MATCH(A14,IP_MAIN_LIST_IP_ID,0))&amp;" ("&amp;INDEX(IP_MAIN_START_DATE,MATCH(A14,IP_MAIN_LIST_IP_ID,0))&amp;"-"&amp;INDEX(IP_MAIN_END_DATE,MATCH(A14,IP_MAIN_LIST_IP_ID,0))&amp;")"</f>
        <v>Инвестиционная программа от 25.07.2019 МУП "Водоканал" в сфере водоснабжения и водоотведения по комплексному развитию централизованных систем холодного водоснабжения и водоотведения, на территории городского округа г. Йошкар-Ола на 2020-2024 годы (01.01.2020-31.12.2024)</v>
      </c>
      <c r="G14" s="1043"/>
      <c r="H14" s="1043"/>
      <c r="I14" s="1104"/>
      <c r="J14" s="1104"/>
      <c r="K14" s="1105"/>
      <c r="L14" s="1105"/>
      <c r="M14" s="1105"/>
      <c r="N14" s="1106"/>
      <c r="O14" s="1106"/>
      <c r="P14" s="1106"/>
      <c r="Q14" s="1106"/>
      <c r="R14" s="1106"/>
      <c r="S14" s="1106"/>
      <c r="T14" s="1106"/>
      <c r="U14" s="1106"/>
      <c r="V14" s="1106"/>
      <c r="W14" s="1106"/>
      <c r="X14" s="1106"/>
      <c r="Y14" s="1106"/>
      <c r="Z14" s="1106"/>
      <c r="AA14" s="1106"/>
      <c r="AB14" s="1106"/>
      <c r="AC14" s="1106"/>
      <c r="AD14" s="1106"/>
      <c r="AE14" s="1107"/>
      <c r="AF14" s="1105"/>
      <c r="AG14" s="1105"/>
      <c r="AH14" s="1105"/>
      <c r="AI14" s="1105"/>
      <c r="AJ14" s="1105"/>
      <c r="AK14" s="1105"/>
      <c r="AL14" s="1901"/>
      <c r="AM14" s="1739"/>
      <c r="AN14" s="1739"/>
      <c r="AO14" s="1739"/>
      <c r="AP14" s="1739"/>
      <c r="AQ14" s="1739"/>
      <c r="AR14" s="1739"/>
      <c r="AS14" s="1739"/>
      <c r="AT14" s="1739"/>
      <c r="AU14" s="1739"/>
      <c r="AV14" s="1739"/>
      <c r="AW14" s="1739"/>
      <c r="AX14" s="1739"/>
      <c r="AY14" s="1739"/>
      <c r="AZ14" s="1739"/>
      <c r="BA14" s="1739"/>
      <c r="BB14" s="1739"/>
      <c r="BC14" s="1739"/>
      <c r="BD14" s="1739"/>
      <c r="BE14" s="1739"/>
      <c r="BF14" s="1739"/>
      <c r="BG14" s="2006"/>
    </row>
    <row r="15" spans="1:59" ht="0.75" customHeight="1">
      <c r="A15" s="1085" t="s">
        <v>1000</v>
      </c>
      <c r="B15" s="1085"/>
      <c r="C15" s="1085"/>
      <c r="D15" s="1079"/>
      <c r="E15" s="1089"/>
      <c r="F15" s="2624">
        <v>2020</v>
      </c>
      <c r="G15" s="2633"/>
      <c r="H15" s="2629" t="s">
        <v>374</v>
      </c>
      <c r="I15" s="2630"/>
      <c r="J15" s="2628"/>
      <c r="K15" s="2628"/>
      <c r="L15" s="2622"/>
      <c r="M15" s="2489"/>
      <c r="N15" s="1949"/>
      <c r="O15" s="1948"/>
      <c r="P15" s="1949"/>
      <c r="Q15" s="1949"/>
      <c r="R15" s="1949"/>
      <c r="S15" s="1949"/>
      <c r="T15" s="1949"/>
      <c r="U15" s="1949"/>
      <c r="V15" s="1949"/>
      <c r="W15" s="1949"/>
      <c r="X15" s="1949"/>
      <c r="Y15" s="1949"/>
      <c r="Z15" s="1949"/>
      <c r="AA15" s="1949"/>
      <c r="AB15" s="1949"/>
      <c r="AC15" s="1949"/>
      <c r="AD15" s="1949"/>
      <c r="AE15" s="1949"/>
      <c r="AF15" s="2627"/>
      <c r="AG15" s="2622"/>
      <c r="AH15" s="2622"/>
      <c r="AI15" s="2627"/>
      <c r="AJ15" s="2622"/>
      <c r="AK15" s="2622"/>
      <c r="AL15" s="1901"/>
      <c r="AM15" s="1739"/>
      <c r="AN15" s="1739"/>
      <c r="AO15" s="1739"/>
      <c r="AP15" s="1739"/>
      <c r="AQ15" s="1739"/>
      <c r="AR15" s="1739"/>
      <c r="AS15" s="1739"/>
      <c r="AT15" s="1739"/>
      <c r="AU15" s="1739"/>
      <c r="AV15" s="1739"/>
      <c r="AW15" s="1739"/>
      <c r="AX15" s="1739"/>
      <c r="AY15" s="1739"/>
      <c r="AZ15" s="1739"/>
      <c r="BA15" s="1739"/>
      <c r="BB15" s="1739"/>
      <c r="BC15" s="1739"/>
      <c r="BD15" s="1739"/>
      <c r="BE15" s="1739"/>
      <c r="BF15" s="1739"/>
      <c r="BG15" s="2006"/>
    </row>
    <row r="16" spans="1:59" ht="0.75" customHeight="1">
      <c r="A16" s="1085" t="s">
        <v>1000</v>
      </c>
      <c r="B16" s="1085"/>
      <c r="C16" s="1085"/>
      <c r="D16" s="1079"/>
      <c r="E16" s="1089"/>
      <c r="F16" s="2624"/>
      <c r="G16" s="2633"/>
      <c r="H16" s="2629"/>
      <c r="I16" s="2630"/>
      <c r="J16" s="2628"/>
      <c r="K16" s="2628"/>
      <c r="L16" s="2622"/>
      <c r="M16" s="2489"/>
      <c r="N16" s="2631"/>
      <c r="O16" s="2632"/>
      <c r="P16" s="2634"/>
      <c r="Q16" s="2628"/>
      <c r="R16" s="2628"/>
      <c r="S16" s="2628"/>
      <c r="T16" s="2628"/>
      <c r="U16" s="2628"/>
      <c r="V16" s="2628"/>
      <c r="W16" s="2628"/>
      <c r="X16" s="2628"/>
      <c r="Y16" s="2628"/>
      <c r="Z16" s="1950"/>
      <c r="AA16" s="1951"/>
      <c r="AB16" s="1951"/>
      <c r="AC16" s="1952"/>
      <c r="AD16" s="1952"/>
      <c r="AE16" s="1953"/>
      <c r="AF16" s="2627"/>
      <c r="AG16" s="2622"/>
      <c r="AH16" s="2622"/>
      <c r="AI16" s="2627"/>
      <c r="AJ16" s="2622"/>
      <c r="AK16" s="2622"/>
      <c r="AL16" s="1901"/>
      <c r="AM16" s="1739"/>
      <c r="AN16" s="1739"/>
      <c r="AO16" s="1739"/>
      <c r="AP16" s="1739"/>
      <c r="AQ16" s="1739"/>
      <c r="AR16" s="1739"/>
      <c r="AS16" s="1739"/>
      <c r="AT16" s="1739"/>
      <c r="AU16" s="1739"/>
      <c r="AV16" s="1739"/>
      <c r="AW16" s="1739"/>
      <c r="AX16" s="1739"/>
      <c r="AY16" s="1739"/>
      <c r="AZ16" s="1739"/>
      <c r="BA16" s="1739"/>
      <c r="BB16" s="1739"/>
      <c r="BC16" s="1739"/>
      <c r="BD16" s="1739"/>
      <c r="BE16" s="1739"/>
      <c r="BF16" s="1739"/>
      <c r="BG16" s="2006"/>
    </row>
    <row r="17" spans="1:59" ht="0.75" customHeight="1">
      <c r="A17" s="1085" t="s">
        <v>1000</v>
      </c>
      <c r="B17" s="1085"/>
      <c r="C17" s="1085"/>
      <c r="D17" s="1079"/>
      <c r="E17" s="1089"/>
      <c r="F17" s="2624"/>
      <c r="G17" s="2633"/>
      <c r="H17" s="2629"/>
      <c r="I17" s="2630"/>
      <c r="J17" s="2628"/>
      <c r="K17" s="2628"/>
      <c r="L17" s="2622"/>
      <c r="M17" s="2489"/>
      <c r="N17" s="2631"/>
      <c r="O17" s="2632"/>
      <c r="P17" s="2635"/>
      <c r="Q17" s="2628"/>
      <c r="R17" s="2628"/>
      <c r="S17" s="2628"/>
      <c r="T17" s="2628"/>
      <c r="U17" s="2628"/>
      <c r="V17" s="2628"/>
      <c r="W17" s="2628"/>
      <c r="X17" s="2628"/>
      <c r="Y17" s="2628"/>
      <c r="Z17" s="1954"/>
      <c r="AA17" s="1955"/>
      <c r="AB17" s="1956"/>
      <c r="AC17" s="1957"/>
      <c r="AD17" s="1956"/>
      <c r="AE17" s="1957"/>
      <c r="AF17" s="2627"/>
      <c r="AG17" s="2622"/>
      <c r="AH17" s="2622"/>
      <c r="AI17" s="2627"/>
      <c r="AJ17" s="2622"/>
      <c r="AK17" s="2622"/>
      <c r="AL17" s="1901"/>
      <c r="AM17" s="1739"/>
      <c r="AN17" s="1739"/>
      <c r="AO17" s="1739"/>
      <c r="AP17" s="1739"/>
      <c r="AQ17" s="1739"/>
      <c r="AR17" s="1739"/>
      <c r="AS17" s="1739"/>
      <c r="AT17" s="1739"/>
      <c r="AU17" s="1739"/>
      <c r="AV17" s="1739"/>
      <c r="AW17" s="1739"/>
      <c r="AX17" s="1739"/>
      <c r="AY17" s="1739"/>
      <c r="AZ17" s="1739"/>
      <c r="BA17" s="1739"/>
      <c r="BB17" s="1739"/>
      <c r="BC17" s="1739"/>
      <c r="BD17" s="1739"/>
      <c r="BE17" s="1739"/>
      <c r="BF17" s="1739"/>
      <c r="BG17" s="2006"/>
    </row>
    <row r="18" spans="1:59" ht="0.75" customHeight="1">
      <c r="A18" s="1085" t="s">
        <v>1000</v>
      </c>
      <c r="B18" s="1085"/>
      <c r="C18" s="1085"/>
      <c r="D18" s="1079"/>
      <c r="E18" s="1089"/>
      <c r="F18" s="2624"/>
      <c r="G18" s="2633"/>
      <c r="H18" s="2629"/>
      <c r="I18" s="2630"/>
      <c r="J18" s="2628"/>
      <c r="K18" s="2628"/>
      <c r="L18" s="2622"/>
      <c r="M18" s="2489"/>
      <c r="N18" s="2631"/>
      <c r="O18" s="2632"/>
      <c r="P18" s="2636"/>
      <c r="Q18" s="2628"/>
      <c r="R18" s="2628"/>
      <c r="S18" s="2628"/>
      <c r="T18" s="2628"/>
      <c r="U18" s="2628"/>
      <c r="V18" s="2628"/>
      <c r="W18" s="2628"/>
      <c r="X18" s="2628"/>
      <c r="Y18" s="2628"/>
      <c r="Z18" s="1950"/>
      <c r="AA18" s="1951"/>
      <c r="AB18" s="1958"/>
      <c r="AC18" s="1952"/>
      <c r="AD18" s="1952"/>
      <c r="AE18" s="1959"/>
      <c r="AF18" s="2627"/>
      <c r="AG18" s="2622"/>
      <c r="AH18" s="2622"/>
      <c r="AI18" s="2627"/>
      <c r="AJ18" s="2622"/>
      <c r="AK18" s="2622"/>
      <c r="AL18" s="1901"/>
      <c r="AM18" s="1739"/>
      <c r="AN18" s="1739"/>
      <c r="AO18" s="1739"/>
      <c r="AP18" s="1739"/>
      <c r="AQ18" s="1739"/>
      <c r="AR18" s="1739"/>
      <c r="AS18" s="1739"/>
      <c r="AT18" s="1739"/>
      <c r="AU18" s="1739"/>
      <c r="AV18" s="1739"/>
      <c r="AW18" s="1739"/>
      <c r="AX18" s="1739"/>
      <c r="AY18" s="1739"/>
      <c r="AZ18" s="1739"/>
      <c r="BA18" s="1739"/>
      <c r="BB18" s="1739"/>
      <c r="BC18" s="1739"/>
      <c r="BD18" s="1739"/>
      <c r="BE18" s="1739"/>
      <c r="BF18" s="1739"/>
      <c r="BG18" s="2006"/>
    </row>
    <row r="19" spans="1:59" ht="0.75" customHeight="1">
      <c r="A19" s="1085" t="s">
        <v>1000</v>
      </c>
      <c r="B19" s="1085"/>
      <c r="C19" s="1085"/>
      <c r="D19" s="1079"/>
      <c r="E19" s="1089"/>
      <c r="F19" s="2624"/>
      <c r="G19" s="2633"/>
      <c r="H19" s="2629"/>
      <c r="I19" s="2630"/>
      <c r="J19" s="2628"/>
      <c r="K19" s="2628"/>
      <c r="L19" s="2622"/>
      <c r="M19" s="2489"/>
      <c r="N19" s="1951"/>
      <c r="O19" s="1951"/>
      <c r="P19" s="1958"/>
      <c r="Q19" s="1951"/>
      <c r="R19" s="1951"/>
      <c r="S19" s="1951"/>
      <c r="T19" s="1951"/>
      <c r="U19" s="1951"/>
      <c r="V19" s="1951"/>
      <c r="W19" s="1951"/>
      <c r="X19" s="1951"/>
      <c r="Y19" s="1951"/>
      <c r="Z19" s="1951"/>
      <c r="AA19" s="1951"/>
      <c r="AB19" s="1951"/>
      <c r="AC19" s="1951"/>
      <c r="AD19" s="1951"/>
      <c r="AE19" s="1960"/>
      <c r="AF19" s="2627"/>
      <c r="AG19" s="2622"/>
      <c r="AH19" s="2622"/>
      <c r="AI19" s="2627"/>
      <c r="AJ19" s="2622"/>
      <c r="AK19" s="2622"/>
      <c r="AL19" s="1901"/>
      <c r="AM19" s="1739"/>
      <c r="AN19" s="1739"/>
      <c r="AO19" s="1739"/>
      <c r="AP19" s="1739"/>
      <c r="AQ19" s="1739"/>
      <c r="AR19" s="1739"/>
      <c r="AS19" s="1739"/>
      <c r="AT19" s="1739"/>
      <c r="AU19" s="1739"/>
      <c r="AV19" s="1739"/>
      <c r="AW19" s="1739"/>
      <c r="AX19" s="1739"/>
      <c r="AY19" s="1739"/>
      <c r="AZ19" s="1739"/>
      <c r="BA19" s="1739"/>
      <c r="BB19" s="1739"/>
      <c r="BC19" s="1739"/>
      <c r="BD19" s="1739"/>
      <c r="BE19" s="1739"/>
      <c r="BF19" s="1739"/>
      <c r="BG19" s="2006"/>
    </row>
    <row r="20" spans="1:59" ht="11.25" customHeight="1">
      <c r="A20" s="1085" t="s">
        <v>1000</v>
      </c>
      <c r="B20" s="1085" t="s">
        <v>1032</v>
      </c>
      <c r="C20" s="1085"/>
      <c r="D20" s="1079"/>
      <c r="E20" s="1089"/>
      <c r="F20" s="2625"/>
      <c r="G20" s="2615" t="s">
        <v>575</v>
      </c>
      <c r="H20" s="2633" t="s">
        <v>108</v>
      </c>
      <c r="I20" s="2646" t="s">
        <v>1033</v>
      </c>
      <c r="J20" s="2647" t="s">
        <v>1034</v>
      </c>
      <c r="K20" s="2648"/>
      <c r="L20" s="2344" t="s">
        <v>19</v>
      </c>
      <c r="M20" s="2345"/>
      <c r="N20" s="1899"/>
      <c r="O20" s="1096" t="s">
        <v>374</v>
      </c>
      <c r="P20" s="1097"/>
      <c r="Q20" s="1097"/>
      <c r="R20" s="1097"/>
      <c r="S20" s="1097"/>
      <c r="T20" s="1097"/>
      <c r="U20" s="1097"/>
      <c r="V20" s="1097"/>
      <c r="W20" s="1097"/>
      <c r="X20" s="1097"/>
      <c r="Y20" s="1097"/>
      <c r="Z20" s="1097"/>
      <c r="AA20" s="1097"/>
      <c r="AB20" s="1097"/>
      <c r="AC20" s="1097"/>
      <c r="AD20" s="1097"/>
      <c r="AE20" s="1097"/>
      <c r="AF20" s="2638">
        <v>2020</v>
      </c>
      <c r="AG20" s="2639" t="s">
        <v>1035</v>
      </c>
      <c r="AH20" s="2639" t="s">
        <v>1036</v>
      </c>
      <c r="AI20" s="2638">
        <v>2020</v>
      </c>
      <c r="AJ20" s="2639" t="s">
        <v>1037</v>
      </c>
      <c r="AK20" s="2639" t="s">
        <v>1036</v>
      </c>
      <c r="AL20" s="1901"/>
      <c r="AM20" s="1739"/>
      <c r="AN20" s="1739"/>
      <c r="AO20" s="1739"/>
      <c r="AP20" s="1739"/>
      <c r="AQ20" s="1739"/>
      <c r="AR20" s="1739"/>
      <c r="AS20" s="1739"/>
      <c r="AT20" s="1739"/>
      <c r="AU20" s="1739"/>
      <c r="AV20" s="1739"/>
      <c r="AW20" s="1739"/>
      <c r="AX20" s="1739"/>
      <c r="AY20" s="1739"/>
      <c r="AZ20" s="1739"/>
      <c r="BA20" s="1739"/>
      <c r="BB20" s="1739"/>
      <c r="BC20" s="1739"/>
      <c r="BD20" s="1739"/>
      <c r="BE20" s="1739"/>
      <c r="BF20" s="1739"/>
      <c r="BG20" s="2006"/>
    </row>
    <row r="21" spans="1:59" ht="11.25" customHeight="1">
      <c r="A21" s="1085" t="s">
        <v>1000</v>
      </c>
      <c r="B21" s="1085"/>
      <c r="C21" s="1085"/>
      <c r="D21" s="1079"/>
      <c r="E21" s="1089"/>
      <c r="F21" s="2625"/>
      <c r="G21" s="2637"/>
      <c r="H21" s="2633" t="s">
        <v>374</v>
      </c>
      <c r="I21" s="2646"/>
      <c r="J21" s="2647"/>
      <c r="K21" s="2648"/>
      <c r="L21" s="2344"/>
      <c r="M21" s="2345"/>
      <c r="N21" s="2640"/>
      <c r="O21" s="2641">
        <v>1</v>
      </c>
      <c r="P21" s="2642" t="s">
        <v>19</v>
      </c>
      <c r="Q21" s="2597" t="s">
        <v>22</v>
      </c>
      <c r="R21" s="2597" t="s">
        <v>22</v>
      </c>
      <c r="S21" s="2597" t="s">
        <v>22</v>
      </c>
      <c r="T21" s="2597" t="s">
        <v>22</v>
      </c>
      <c r="U21" s="2597" t="s">
        <v>22</v>
      </c>
      <c r="V21" s="2597" t="s">
        <v>22</v>
      </c>
      <c r="W21" s="2597" t="s">
        <v>22</v>
      </c>
      <c r="X21" s="2597" t="s">
        <v>22</v>
      </c>
      <c r="Y21" s="2597"/>
      <c r="Z21" s="1094"/>
      <c r="AA21" s="1095"/>
      <c r="AB21" s="1095"/>
      <c r="AC21" s="1099"/>
      <c r="AD21" s="1099"/>
      <c r="AE21" s="1100"/>
      <c r="AF21" s="2638"/>
      <c r="AG21" s="2639"/>
      <c r="AH21" s="2639"/>
      <c r="AI21" s="2638"/>
      <c r="AJ21" s="2639"/>
      <c r="AK21" s="2639"/>
      <c r="AL21" s="1901"/>
      <c r="AM21" s="1739"/>
      <c r="AN21" s="1739"/>
      <c r="AO21" s="1739"/>
      <c r="AP21" s="1739"/>
      <c r="AQ21" s="1739"/>
      <c r="AR21" s="1739"/>
      <c r="AS21" s="1739"/>
      <c r="AT21" s="1739"/>
      <c r="AU21" s="1739"/>
      <c r="AV21" s="1739"/>
      <c r="AW21" s="1739"/>
      <c r="AX21" s="1739"/>
      <c r="AY21" s="1739"/>
      <c r="AZ21" s="1739"/>
      <c r="BA21" s="1739"/>
      <c r="BB21" s="1739"/>
      <c r="BC21" s="1739"/>
      <c r="BD21" s="1739"/>
      <c r="BE21" s="1739"/>
      <c r="BF21" s="1739"/>
      <c r="BG21" s="2006"/>
    </row>
    <row r="22" spans="1:59" ht="35.25" customHeight="1">
      <c r="A22" s="1085" t="s">
        <v>1000</v>
      </c>
      <c r="B22" s="1085"/>
      <c r="C22" s="1085"/>
      <c r="D22" s="1079"/>
      <c r="E22" s="1089"/>
      <c r="F22" s="2625"/>
      <c r="G22" s="2637"/>
      <c r="H22" s="2633" t="s">
        <v>374</v>
      </c>
      <c r="I22" s="2646"/>
      <c r="J22" s="2647"/>
      <c r="K22" s="2648"/>
      <c r="L22" s="2344"/>
      <c r="M22" s="2345"/>
      <c r="N22" s="2640"/>
      <c r="O22" s="2641"/>
      <c r="P22" s="2643"/>
      <c r="Q22" s="2597"/>
      <c r="R22" s="2597"/>
      <c r="S22" s="2645"/>
      <c r="T22" s="2597"/>
      <c r="U22" s="2597"/>
      <c r="V22" s="2597"/>
      <c r="W22" s="2597"/>
      <c r="X22" s="2597"/>
      <c r="Y22" s="2597"/>
      <c r="Z22" s="1744"/>
      <c r="AA22" s="1712">
        <v>1</v>
      </c>
      <c r="AB22" s="1098" t="s">
        <v>1038</v>
      </c>
      <c r="AC22" s="1088">
        <v>398.86</v>
      </c>
      <c r="AD22" s="1098" t="s">
        <v>1039</v>
      </c>
      <c r="AE22" s="1088">
        <v>165.42033000000001</v>
      </c>
      <c r="AF22" s="2638"/>
      <c r="AG22" s="2639"/>
      <c r="AH22" s="2639"/>
      <c r="AI22" s="2638"/>
      <c r="AJ22" s="2639"/>
      <c r="AK22" s="2639"/>
      <c r="AL22" s="1901"/>
      <c r="AM22" s="1739"/>
      <c r="AN22" s="1739"/>
      <c r="AO22" s="1739"/>
      <c r="AP22" s="1739"/>
      <c r="AQ22" s="1739"/>
      <c r="AR22" s="1739"/>
      <c r="AS22" s="1739"/>
      <c r="AT22" s="1739"/>
      <c r="AU22" s="1739"/>
      <c r="AV22" s="1739"/>
      <c r="AW22" s="1739"/>
      <c r="AX22" s="1739"/>
      <c r="AY22" s="1739"/>
      <c r="AZ22" s="1739"/>
      <c r="BA22" s="1739"/>
      <c r="BB22" s="1739"/>
      <c r="BC22" s="1739"/>
      <c r="BD22" s="1739"/>
      <c r="BE22" s="1739"/>
      <c r="BF22" s="1739"/>
      <c r="BG22" s="2006"/>
    </row>
    <row r="23" spans="1:59" ht="11.25" customHeight="1">
      <c r="A23" s="1085" t="s">
        <v>1000</v>
      </c>
      <c r="B23" s="1085"/>
      <c r="C23" s="1085"/>
      <c r="D23" s="1079"/>
      <c r="E23" s="1089"/>
      <c r="F23" s="2625"/>
      <c r="G23" s="2637"/>
      <c r="H23" s="2633" t="s">
        <v>374</v>
      </c>
      <c r="I23" s="2646"/>
      <c r="J23" s="2647"/>
      <c r="K23" s="2648"/>
      <c r="L23" s="2344"/>
      <c r="M23" s="2345"/>
      <c r="N23" s="2640"/>
      <c r="O23" s="2641"/>
      <c r="P23" s="2644"/>
      <c r="Q23" s="2597"/>
      <c r="R23" s="2597"/>
      <c r="S23" s="2645"/>
      <c r="T23" s="2597"/>
      <c r="U23" s="2597"/>
      <c r="V23" s="2597"/>
      <c r="W23" s="2597"/>
      <c r="X23" s="2597"/>
      <c r="Y23" s="2597"/>
      <c r="Z23" s="1094"/>
      <c r="AA23" s="1095"/>
      <c r="AB23" s="1160" t="s">
        <v>1040</v>
      </c>
      <c r="AC23" s="1099"/>
      <c r="AD23" s="1099"/>
      <c r="AE23" s="1101"/>
      <c r="AF23" s="2638"/>
      <c r="AG23" s="2639"/>
      <c r="AH23" s="2639"/>
      <c r="AI23" s="2638"/>
      <c r="AJ23" s="2639"/>
      <c r="AK23" s="2639"/>
      <c r="AL23" s="1901"/>
      <c r="AM23" s="1739"/>
      <c r="AN23" s="1739"/>
      <c r="AO23" s="1739"/>
      <c r="AP23" s="1739"/>
      <c r="AQ23" s="1739"/>
      <c r="AR23" s="1739"/>
      <c r="AS23" s="1739"/>
      <c r="AT23" s="1739"/>
      <c r="AU23" s="1739"/>
      <c r="AV23" s="1739"/>
      <c r="AW23" s="1739"/>
      <c r="AX23" s="1739"/>
      <c r="AY23" s="1739"/>
      <c r="AZ23" s="1739"/>
      <c r="BA23" s="1739"/>
      <c r="BB23" s="1739"/>
      <c r="BC23" s="1739"/>
      <c r="BD23" s="1739"/>
      <c r="BE23" s="1739"/>
      <c r="BF23" s="1739"/>
      <c r="BG23" s="2006"/>
    </row>
    <row r="24" spans="1:59" ht="11.25" customHeight="1">
      <c r="A24" s="1085" t="s">
        <v>1000</v>
      </c>
      <c r="B24" s="1085"/>
      <c r="C24" s="1085"/>
      <c r="D24" s="1079"/>
      <c r="E24" s="1089"/>
      <c r="F24" s="2625"/>
      <c r="G24" s="2637"/>
      <c r="H24" s="2633" t="s">
        <v>374</v>
      </c>
      <c r="I24" s="2646"/>
      <c r="J24" s="2647"/>
      <c r="K24" s="2648"/>
      <c r="L24" s="2344"/>
      <c r="M24" s="2345"/>
      <c r="N24" s="1094"/>
      <c r="O24" s="1095"/>
      <c r="P24" s="1087" t="s">
        <v>1041</v>
      </c>
      <c r="Q24" s="1095"/>
      <c r="R24" s="1095"/>
      <c r="S24" s="1095"/>
      <c r="T24" s="1095"/>
      <c r="U24" s="1095"/>
      <c r="V24" s="1095"/>
      <c r="W24" s="1095"/>
      <c r="X24" s="1095"/>
      <c r="Y24" s="1095"/>
      <c r="Z24" s="1095"/>
      <c r="AA24" s="1095"/>
      <c r="AB24" s="1095"/>
      <c r="AC24" s="1095"/>
      <c r="AD24" s="1095"/>
      <c r="AE24" s="1102"/>
      <c r="AF24" s="2638"/>
      <c r="AG24" s="2639"/>
      <c r="AH24" s="2639"/>
      <c r="AI24" s="2638"/>
      <c r="AJ24" s="2639"/>
      <c r="AK24" s="2639"/>
      <c r="AL24" s="1901"/>
      <c r="AM24" s="1739"/>
      <c r="AN24" s="1739"/>
      <c r="AO24" s="1739"/>
      <c r="AP24" s="1739"/>
      <c r="AQ24" s="1739"/>
      <c r="AR24" s="1739"/>
      <c r="AS24" s="1739"/>
      <c r="AT24" s="1739"/>
      <c r="AU24" s="1739"/>
      <c r="AV24" s="1739"/>
      <c r="AW24" s="1739"/>
      <c r="AX24" s="1739"/>
      <c r="AY24" s="1739"/>
      <c r="AZ24" s="1739"/>
      <c r="BA24" s="1739"/>
      <c r="BB24" s="1739"/>
      <c r="BC24" s="1739"/>
      <c r="BD24" s="1739"/>
      <c r="BE24" s="1739"/>
      <c r="BF24" s="1739"/>
      <c r="BG24" s="2006"/>
    </row>
    <row r="25" spans="1:59" ht="12" customHeight="1">
      <c r="A25" s="1085" t="s">
        <v>1000</v>
      </c>
      <c r="B25" s="1085"/>
      <c r="C25" s="1085"/>
      <c r="D25" s="1079"/>
      <c r="E25" s="1089"/>
      <c r="F25" s="2626"/>
      <c r="G25" s="1109"/>
      <c r="H25" s="1109"/>
      <c r="I25" s="2623" t="s">
        <v>1042</v>
      </c>
      <c r="J25" s="2623"/>
      <c r="K25" s="2623"/>
      <c r="L25" s="1092"/>
      <c r="M25" s="1092"/>
      <c r="N25" s="1093"/>
      <c r="O25" s="1093"/>
      <c r="P25" s="1093"/>
      <c r="Q25" s="1093"/>
      <c r="R25" s="1093"/>
      <c r="S25" s="1093"/>
      <c r="T25" s="1093"/>
      <c r="U25" s="1093"/>
      <c r="V25" s="1093"/>
      <c r="W25" s="1093"/>
      <c r="X25" s="1093"/>
      <c r="Y25" s="1093"/>
      <c r="Z25" s="1093"/>
      <c r="AA25" s="1093"/>
      <c r="AB25" s="1093"/>
      <c r="AC25" s="1093"/>
      <c r="AD25" s="1093"/>
      <c r="AE25" s="1093"/>
      <c r="AF25" s="1093"/>
      <c r="AG25" s="1092"/>
      <c r="AH25" s="1092"/>
      <c r="AI25" s="1093"/>
      <c r="AJ25" s="1092"/>
      <c r="AK25" s="1093"/>
      <c r="AL25" s="1901"/>
      <c r="AM25" s="1739"/>
      <c r="AN25" s="1739"/>
      <c r="AO25" s="1739"/>
      <c r="AP25" s="1739"/>
      <c r="AQ25" s="1739"/>
      <c r="AR25" s="1739"/>
      <c r="AS25" s="1739"/>
      <c r="AT25" s="1739"/>
      <c r="AU25" s="1739"/>
      <c r="AV25" s="1739"/>
      <c r="AW25" s="1739"/>
      <c r="AX25" s="1739"/>
      <c r="AY25" s="1739"/>
      <c r="AZ25" s="1739"/>
      <c r="BA25" s="1739"/>
      <c r="BB25" s="1739"/>
      <c r="BC25" s="1739"/>
      <c r="BD25" s="1739"/>
      <c r="BE25" s="1739"/>
      <c r="BF25" s="1739"/>
      <c r="BG25" s="2006"/>
    </row>
    <row r="26" spans="1:59" ht="0.75" customHeight="1">
      <c r="A26" s="1085" t="s">
        <v>1000</v>
      </c>
      <c r="B26" s="1085"/>
      <c r="C26" s="1085"/>
      <c r="D26" s="1079"/>
      <c r="E26" s="1089"/>
      <c r="F26" s="2624">
        <v>2021</v>
      </c>
      <c r="G26" s="2633"/>
      <c r="H26" s="2629" t="s">
        <v>374</v>
      </c>
      <c r="I26" s="2630"/>
      <c r="J26" s="2628"/>
      <c r="K26" s="2628"/>
      <c r="L26" s="2622"/>
      <c r="M26" s="2489"/>
      <c r="N26" s="1949"/>
      <c r="O26" s="1948"/>
      <c r="P26" s="1949"/>
      <c r="Q26" s="1949"/>
      <c r="R26" s="1949"/>
      <c r="S26" s="1949"/>
      <c r="T26" s="1949"/>
      <c r="U26" s="1949"/>
      <c r="V26" s="1949"/>
      <c r="W26" s="1949"/>
      <c r="X26" s="1949"/>
      <c r="Y26" s="1949"/>
      <c r="Z26" s="1949"/>
      <c r="AA26" s="1949"/>
      <c r="AB26" s="1949"/>
      <c r="AC26" s="1949"/>
      <c r="AD26" s="1949"/>
      <c r="AE26" s="1949"/>
      <c r="AF26" s="2627"/>
      <c r="AG26" s="2622"/>
      <c r="AH26" s="2622"/>
      <c r="AI26" s="2627"/>
      <c r="AJ26" s="2622"/>
      <c r="AK26" s="2622"/>
      <c r="AL26" s="1901"/>
      <c r="AM26" s="1739"/>
      <c r="AN26" s="1739"/>
      <c r="AO26" s="1739"/>
      <c r="AP26" s="1739"/>
      <c r="AQ26" s="1739"/>
      <c r="AR26" s="1739"/>
      <c r="AS26" s="1739"/>
      <c r="AT26" s="1739"/>
      <c r="AU26" s="1739"/>
      <c r="AV26" s="1739"/>
      <c r="AW26" s="1739"/>
      <c r="AX26" s="1739"/>
      <c r="AY26" s="1739"/>
      <c r="AZ26" s="1739"/>
      <c r="BA26" s="1739"/>
      <c r="BB26" s="1739"/>
      <c r="BC26" s="1739"/>
      <c r="BD26" s="1739"/>
      <c r="BE26" s="1739"/>
      <c r="BF26" s="1739"/>
      <c r="BG26" s="2006"/>
    </row>
    <row r="27" spans="1:59" ht="0.75" customHeight="1">
      <c r="A27" s="1085" t="s">
        <v>1000</v>
      </c>
      <c r="B27" s="1085"/>
      <c r="C27" s="1085"/>
      <c r="D27" s="1079"/>
      <c r="E27" s="1089"/>
      <c r="F27" s="2624"/>
      <c r="G27" s="2633"/>
      <c r="H27" s="2629"/>
      <c r="I27" s="2630"/>
      <c r="J27" s="2628"/>
      <c r="K27" s="2628"/>
      <c r="L27" s="2622"/>
      <c r="M27" s="2489"/>
      <c r="N27" s="2631"/>
      <c r="O27" s="2632"/>
      <c r="P27" s="2634"/>
      <c r="Q27" s="2628"/>
      <c r="R27" s="2628"/>
      <c r="S27" s="2628"/>
      <c r="T27" s="2628"/>
      <c r="U27" s="2628"/>
      <c r="V27" s="2628"/>
      <c r="W27" s="2628"/>
      <c r="X27" s="2628"/>
      <c r="Y27" s="2628"/>
      <c r="Z27" s="1950"/>
      <c r="AA27" s="1951"/>
      <c r="AB27" s="1951"/>
      <c r="AC27" s="1952"/>
      <c r="AD27" s="1952"/>
      <c r="AE27" s="1953"/>
      <c r="AF27" s="2627"/>
      <c r="AG27" s="2622"/>
      <c r="AH27" s="2622"/>
      <c r="AI27" s="2627"/>
      <c r="AJ27" s="2622"/>
      <c r="AK27" s="2622"/>
      <c r="AL27" s="1901"/>
      <c r="AM27" s="1739"/>
      <c r="AN27" s="1739"/>
      <c r="AO27" s="1739"/>
      <c r="AP27" s="1739"/>
      <c r="AQ27" s="1739"/>
      <c r="AR27" s="1739"/>
      <c r="AS27" s="1739"/>
      <c r="AT27" s="1739"/>
      <c r="AU27" s="1739"/>
      <c r="AV27" s="1739"/>
      <c r="AW27" s="1739"/>
      <c r="AX27" s="1739"/>
      <c r="AY27" s="1739"/>
      <c r="AZ27" s="1739"/>
      <c r="BA27" s="1739"/>
      <c r="BB27" s="1739"/>
      <c r="BC27" s="1739"/>
      <c r="BD27" s="1739"/>
      <c r="BE27" s="1739"/>
      <c r="BF27" s="1739"/>
      <c r="BG27" s="2006"/>
    </row>
    <row r="28" spans="1:59" ht="0.75" customHeight="1">
      <c r="A28" s="1085" t="s">
        <v>1000</v>
      </c>
      <c r="B28" s="1085"/>
      <c r="C28" s="1085"/>
      <c r="D28" s="1079"/>
      <c r="E28" s="1089"/>
      <c r="F28" s="2624"/>
      <c r="G28" s="2633"/>
      <c r="H28" s="2629"/>
      <c r="I28" s="2630"/>
      <c r="J28" s="2628"/>
      <c r="K28" s="2628"/>
      <c r="L28" s="2622"/>
      <c r="M28" s="2489"/>
      <c r="N28" s="2631"/>
      <c r="O28" s="2632"/>
      <c r="P28" s="2635"/>
      <c r="Q28" s="2628"/>
      <c r="R28" s="2628"/>
      <c r="S28" s="2628"/>
      <c r="T28" s="2628"/>
      <c r="U28" s="2628"/>
      <c r="V28" s="2628"/>
      <c r="W28" s="2628"/>
      <c r="X28" s="2628"/>
      <c r="Y28" s="2628"/>
      <c r="Z28" s="1954"/>
      <c r="AA28" s="1955"/>
      <c r="AB28" s="1956"/>
      <c r="AC28" s="1957"/>
      <c r="AD28" s="1956"/>
      <c r="AE28" s="1957"/>
      <c r="AF28" s="2627"/>
      <c r="AG28" s="2622"/>
      <c r="AH28" s="2622"/>
      <c r="AI28" s="2627"/>
      <c r="AJ28" s="2622"/>
      <c r="AK28" s="2622"/>
      <c r="AL28" s="1901"/>
      <c r="AM28" s="1739"/>
      <c r="AN28" s="1739"/>
      <c r="AO28" s="1739"/>
      <c r="AP28" s="1739"/>
      <c r="AQ28" s="1739"/>
      <c r="AR28" s="1739"/>
      <c r="AS28" s="1739"/>
      <c r="AT28" s="1739"/>
      <c r="AU28" s="1739"/>
      <c r="AV28" s="1739"/>
      <c r="AW28" s="1739"/>
      <c r="AX28" s="1739"/>
      <c r="AY28" s="1739"/>
      <c r="AZ28" s="1739"/>
      <c r="BA28" s="1739"/>
      <c r="BB28" s="1739"/>
      <c r="BC28" s="1739"/>
      <c r="BD28" s="1739"/>
      <c r="BE28" s="1739"/>
      <c r="BF28" s="1739"/>
      <c r="BG28" s="2006"/>
    </row>
    <row r="29" spans="1:59" ht="0.75" customHeight="1">
      <c r="A29" s="1085" t="s">
        <v>1000</v>
      </c>
      <c r="B29" s="1085"/>
      <c r="C29" s="1085"/>
      <c r="D29" s="1079"/>
      <c r="E29" s="1089"/>
      <c r="F29" s="2624"/>
      <c r="G29" s="2633"/>
      <c r="H29" s="2629"/>
      <c r="I29" s="2630"/>
      <c r="J29" s="2628"/>
      <c r="K29" s="2628"/>
      <c r="L29" s="2622"/>
      <c r="M29" s="2489"/>
      <c r="N29" s="2631"/>
      <c r="O29" s="2632"/>
      <c r="P29" s="2636"/>
      <c r="Q29" s="2628"/>
      <c r="R29" s="2628"/>
      <c r="S29" s="2628"/>
      <c r="T29" s="2628"/>
      <c r="U29" s="2628"/>
      <c r="V29" s="2628"/>
      <c r="W29" s="2628"/>
      <c r="X29" s="2628"/>
      <c r="Y29" s="2628"/>
      <c r="Z29" s="1950"/>
      <c r="AA29" s="1951"/>
      <c r="AB29" s="1958"/>
      <c r="AC29" s="1952"/>
      <c r="AD29" s="1952"/>
      <c r="AE29" s="1959"/>
      <c r="AF29" s="2627"/>
      <c r="AG29" s="2622"/>
      <c r="AH29" s="2622"/>
      <c r="AI29" s="2627"/>
      <c r="AJ29" s="2622"/>
      <c r="AK29" s="2622"/>
      <c r="AL29" s="1901"/>
      <c r="AM29" s="1739"/>
      <c r="AN29" s="1739"/>
      <c r="AO29" s="1739"/>
      <c r="AP29" s="1739"/>
      <c r="AQ29" s="1739"/>
      <c r="AR29" s="1739"/>
      <c r="AS29" s="1739"/>
      <c r="AT29" s="1739"/>
      <c r="AU29" s="1739"/>
      <c r="AV29" s="1739"/>
      <c r="AW29" s="1739"/>
      <c r="AX29" s="1739"/>
      <c r="AY29" s="1739"/>
      <c r="AZ29" s="1739"/>
      <c r="BA29" s="1739"/>
      <c r="BB29" s="1739"/>
      <c r="BC29" s="1739"/>
      <c r="BD29" s="1739"/>
      <c r="BE29" s="1739"/>
      <c r="BF29" s="1739"/>
      <c r="BG29" s="2006"/>
    </row>
    <row r="30" spans="1:59" ht="0.75" customHeight="1">
      <c r="A30" s="1085" t="s">
        <v>1000</v>
      </c>
      <c r="B30" s="1085"/>
      <c r="C30" s="1085"/>
      <c r="D30" s="1079"/>
      <c r="E30" s="1089"/>
      <c r="F30" s="2624"/>
      <c r="G30" s="2633"/>
      <c r="H30" s="2629"/>
      <c r="I30" s="2630"/>
      <c r="J30" s="2628"/>
      <c r="K30" s="2628"/>
      <c r="L30" s="2622"/>
      <c r="M30" s="2489"/>
      <c r="N30" s="1951"/>
      <c r="O30" s="1951"/>
      <c r="P30" s="1958"/>
      <c r="Q30" s="1951"/>
      <c r="R30" s="1951"/>
      <c r="S30" s="1951"/>
      <c r="T30" s="1951"/>
      <c r="U30" s="1951"/>
      <c r="V30" s="1951"/>
      <c r="W30" s="1951"/>
      <c r="X30" s="1951"/>
      <c r="Y30" s="1951"/>
      <c r="Z30" s="1951"/>
      <c r="AA30" s="1951"/>
      <c r="AB30" s="1951"/>
      <c r="AC30" s="1951"/>
      <c r="AD30" s="1951"/>
      <c r="AE30" s="1960"/>
      <c r="AF30" s="2627"/>
      <c r="AG30" s="2622"/>
      <c r="AH30" s="2622"/>
      <c r="AI30" s="2627"/>
      <c r="AJ30" s="2622"/>
      <c r="AK30" s="2622"/>
      <c r="AL30" s="1901"/>
      <c r="AM30" s="1739"/>
      <c r="AN30" s="1739"/>
      <c r="AO30" s="1739"/>
      <c r="AP30" s="1739"/>
      <c r="AQ30" s="1739"/>
      <c r="AR30" s="1739"/>
      <c r="AS30" s="1739"/>
      <c r="AT30" s="1739"/>
      <c r="AU30" s="1739"/>
      <c r="AV30" s="1739"/>
      <c r="AW30" s="1739"/>
      <c r="AX30" s="1739"/>
      <c r="AY30" s="1739"/>
      <c r="AZ30" s="1739"/>
      <c r="BA30" s="1739"/>
      <c r="BB30" s="1739"/>
      <c r="BC30" s="1739"/>
      <c r="BD30" s="1739"/>
      <c r="BE30" s="1739"/>
      <c r="BF30" s="1739"/>
      <c r="BG30" s="2006"/>
    </row>
    <row r="31" spans="1:59" ht="11.25" customHeight="1">
      <c r="A31" s="1085" t="s">
        <v>1000</v>
      </c>
      <c r="B31" s="1085" t="s">
        <v>1032</v>
      </c>
      <c r="C31" s="1085"/>
      <c r="D31" s="1079"/>
      <c r="E31" s="1089"/>
      <c r="F31" s="2625"/>
      <c r="G31" s="2615" t="s">
        <v>575</v>
      </c>
      <c r="H31" s="2633" t="s">
        <v>108</v>
      </c>
      <c r="I31" s="2646" t="s">
        <v>1033</v>
      </c>
      <c r="J31" s="2647" t="s">
        <v>1034</v>
      </c>
      <c r="K31" s="2648"/>
      <c r="L31" s="2344" t="s">
        <v>19</v>
      </c>
      <c r="M31" s="2345"/>
      <c r="N31" s="1899"/>
      <c r="O31" s="1096" t="s">
        <v>374</v>
      </c>
      <c r="P31" s="1097"/>
      <c r="Q31" s="1097"/>
      <c r="R31" s="1097"/>
      <c r="S31" s="1097"/>
      <c r="T31" s="1097"/>
      <c r="U31" s="1097"/>
      <c r="V31" s="1097"/>
      <c r="W31" s="1097"/>
      <c r="X31" s="1097"/>
      <c r="Y31" s="1097"/>
      <c r="Z31" s="1097"/>
      <c r="AA31" s="1097"/>
      <c r="AB31" s="1097"/>
      <c r="AC31" s="1097"/>
      <c r="AD31" s="1097"/>
      <c r="AE31" s="1097"/>
      <c r="AF31" s="2638">
        <v>2021</v>
      </c>
      <c r="AG31" s="2639" t="s">
        <v>1035</v>
      </c>
      <c r="AH31" s="2639" t="s">
        <v>1043</v>
      </c>
      <c r="AI31" s="2638">
        <v>2021</v>
      </c>
      <c r="AJ31" s="2639" t="s">
        <v>1035</v>
      </c>
      <c r="AK31" s="2639" t="s">
        <v>1043</v>
      </c>
      <c r="AL31" s="1901"/>
      <c r="AM31" s="1739"/>
      <c r="AN31" s="1739"/>
      <c r="AO31" s="1739"/>
      <c r="AP31" s="1739"/>
      <c r="AQ31" s="1739"/>
      <c r="AR31" s="1739"/>
      <c r="AS31" s="1739"/>
      <c r="AT31" s="1739"/>
      <c r="AU31" s="1739"/>
      <c r="AV31" s="1739"/>
      <c r="AW31" s="1739"/>
      <c r="AX31" s="1739"/>
      <c r="AY31" s="1739"/>
      <c r="AZ31" s="1739"/>
      <c r="BA31" s="1739"/>
      <c r="BB31" s="1739"/>
      <c r="BC31" s="1739"/>
      <c r="BD31" s="1739"/>
      <c r="BE31" s="1739"/>
      <c r="BF31" s="1739"/>
      <c r="BG31" s="2006"/>
    </row>
    <row r="32" spans="1:59" ht="11.25" customHeight="1">
      <c r="A32" s="1085" t="s">
        <v>1000</v>
      </c>
      <c r="B32" s="1085"/>
      <c r="C32" s="1085"/>
      <c r="D32" s="1079"/>
      <c r="E32" s="1089"/>
      <c r="F32" s="2625"/>
      <c r="G32" s="2637"/>
      <c r="H32" s="2633" t="s">
        <v>374</v>
      </c>
      <c r="I32" s="2646"/>
      <c r="J32" s="2647"/>
      <c r="K32" s="2648"/>
      <c r="L32" s="2344"/>
      <c r="M32" s="2345"/>
      <c r="N32" s="2640"/>
      <c r="O32" s="2641">
        <v>1</v>
      </c>
      <c r="P32" s="2642" t="s">
        <v>19</v>
      </c>
      <c r="Q32" s="2597" t="s">
        <v>22</v>
      </c>
      <c r="R32" s="2597" t="s">
        <v>22</v>
      </c>
      <c r="S32" s="2597" t="s">
        <v>22</v>
      </c>
      <c r="T32" s="2597" t="s">
        <v>22</v>
      </c>
      <c r="U32" s="2597" t="s">
        <v>22</v>
      </c>
      <c r="V32" s="2597" t="s">
        <v>22</v>
      </c>
      <c r="W32" s="2597" t="s">
        <v>22</v>
      </c>
      <c r="X32" s="2597" t="s">
        <v>22</v>
      </c>
      <c r="Y32" s="2597"/>
      <c r="Z32" s="1094"/>
      <c r="AA32" s="1095"/>
      <c r="AB32" s="1095"/>
      <c r="AC32" s="1099"/>
      <c r="AD32" s="1099"/>
      <c r="AE32" s="1100"/>
      <c r="AF32" s="2638"/>
      <c r="AG32" s="2639"/>
      <c r="AH32" s="2639"/>
      <c r="AI32" s="2638"/>
      <c r="AJ32" s="2639"/>
      <c r="AK32" s="2639"/>
      <c r="AL32" s="1901"/>
      <c r="AM32" s="1739"/>
      <c r="AN32" s="1739"/>
      <c r="AO32" s="1739"/>
      <c r="AP32" s="1739"/>
      <c r="AQ32" s="1739"/>
      <c r="AR32" s="1739"/>
      <c r="AS32" s="1739"/>
      <c r="AT32" s="1739"/>
      <c r="AU32" s="1739"/>
      <c r="AV32" s="1739"/>
      <c r="AW32" s="1739"/>
      <c r="AX32" s="1739"/>
      <c r="AY32" s="1739"/>
      <c r="AZ32" s="1739"/>
      <c r="BA32" s="1739"/>
      <c r="BB32" s="1739"/>
      <c r="BC32" s="1739"/>
      <c r="BD32" s="1739"/>
      <c r="BE32" s="1739"/>
      <c r="BF32" s="1739"/>
      <c r="BG32" s="2006"/>
    </row>
    <row r="33" spans="1:59" ht="35.25" customHeight="1">
      <c r="A33" s="1085" t="s">
        <v>1000</v>
      </c>
      <c r="B33" s="1085"/>
      <c r="C33" s="1085"/>
      <c r="D33" s="1079"/>
      <c r="E33" s="1089"/>
      <c r="F33" s="2625"/>
      <c r="G33" s="2637"/>
      <c r="H33" s="2633" t="s">
        <v>374</v>
      </c>
      <c r="I33" s="2646"/>
      <c r="J33" s="2647"/>
      <c r="K33" s="2648"/>
      <c r="L33" s="2344"/>
      <c r="M33" s="2345"/>
      <c r="N33" s="2640"/>
      <c r="O33" s="2641"/>
      <c r="P33" s="2643"/>
      <c r="Q33" s="2597"/>
      <c r="R33" s="2597"/>
      <c r="S33" s="2645"/>
      <c r="T33" s="2597"/>
      <c r="U33" s="2597"/>
      <c r="V33" s="2597"/>
      <c r="W33" s="2597"/>
      <c r="X33" s="2597"/>
      <c r="Y33" s="2597"/>
      <c r="Z33" s="1744"/>
      <c r="AA33" s="1712">
        <v>1</v>
      </c>
      <c r="AB33" s="1098" t="s">
        <v>1038</v>
      </c>
      <c r="AC33" s="1088">
        <v>670</v>
      </c>
      <c r="AD33" s="1098" t="s">
        <v>1039</v>
      </c>
      <c r="AE33" s="1088">
        <v>1134.5304100000001</v>
      </c>
      <c r="AF33" s="2638"/>
      <c r="AG33" s="2639"/>
      <c r="AH33" s="2639"/>
      <c r="AI33" s="2638"/>
      <c r="AJ33" s="2639"/>
      <c r="AK33" s="2639"/>
      <c r="AL33" s="1901"/>
      <c r="AM33" s="1739"/>
      <c r="AN33" s="1739"/>
      <c r="AO33" s="1739"/>
      <c r="AP33" s="1739"/>
      <c r="AQ33" s="1739"/>
      <c r="AR33" s="1739"/>
      <c r="AS33" s="1739"/>
      <c r="AT33" s="1739"/>
      <c r="AU33" s="1739"/>
      <c r="AV33" s="1739"/>
      <c r="AW33" s="1739"/>
      <c r="AX33" s="1739"/>
      <c r="AY33" s="1739"/>
      <c r="AZ33" s="1739"/>
      <c r="BA33" s="1739"/>
      <c r="BB33" s="1739"/>
      <c r="BC33" s="1739"/>
      <c r="BD33" s="1739"/>
      <c r="BE33" s="1739"/>
      <c r="BF33" s="1739"/>
      <c r="BG33" s="2006"/>
    </row>
    <row r="34" spans="1:59" ht="11.25" customHeight="1">
      <c r="A34" s="1085" t="s">
        <v>1000</v>
      </c>
      <c r="B34" s="1085"/>
      <c r="C34" s="1085"/>
      <c r="D34" s="1079"/>
      <c r="E34" s="1089"/>
      <c r="F34" s="2625"/>
      <c r="G34" s="2637"/>
      <c r="H34" s="2633" t="s">
        <v>374</v>
      </c>
      <c r="I34" s="2646"/>
      <c r="J34" s="2647"/>
      <c r="K34" s="2648"/>
      <c r="L34" s="2344"/>
      <c r="M34" s="2345"/>
      <c r="N34" s="2640"/>
      <c r="O34" s="2641"/>
      <c r="P34" s="2644"/>
      <c r="Q34" s="2597"/>
      <c r="R34" s="2597"/>
      <c r="S34" s="2645"/>
      <c r="T34" s="2597"/>
      <c r="U34" s="2597"/>
      <c r="V34" s="2597"/>
      <c r="W34" s="2597"/>
      <c r="X34" s="2597"/>
      <c r="Y34" s="2597"/>
      <c r="Z34" s="1094"/>
      <c r="AA34" s="1095"/>
      <c r="AB34" s="1160" t="s">
        <v>1040</v>
      </c>
      <c r="AC34" s="1099"/>
      <c r="AD34" s="1099"/>
      <c r="AE34" s="1101"/>
      <c r="AF34" s="2638"/>
      <c r="AG34" s="2639"/>
      <c r="AH34" s="2639"/>
      <c r="AI34" s="2638"/>
      <c r="AJ34" s="2639"/>
      <c r="AK34" s="2639"/>
      <c r="AL34" s="1901"/>
      <c r="AM34" s="1739"/>
      <c r="AN34" s="1739"/>
      <c r="AO34" s="1739"/>
      <c r="AP34" s="1739"/>
      <c r="AQ34" s="1739"/>
      <c r="AR34" s="1739"/>
      <c r="AS34" s="1739"/>
      <c r="AT34" s="1739"/>
      <c r="AU34" s="1739"/>
      <c r="AV34" s="1739"/>
      <c r="AW34" s="1739"/>
      <c r="AX34" s="1739"/>
      <c r="AY34" s="1739"/>
      <c r="AZ34" s="1739"/>
      <c r="BA34" s="1739"/>
      <c r="BB34" s="1739"/>
      <c r="BC34" s="1739"/>
      <c r="BD34" s="1739"/>
      <c r="BE34" s="1739"/>
      <c r="BF34" s="1739"/>
      <c r="BG34" s="2006"/>
    </row>
    <row r="35" spans="1:59" ht="11.25" customHeight="1">
      <c r="A35" s="1085" t="s">
        <v>1000</v>
      </c>
      <c r="B35" s="1085"/>
      <c r="C35" s="1085"/>
      <c r="D35" s="1079"/>
      <c r="E35" s="1089"/>
      <c r="F35" s="2625"/>
      <c r="G35" s="2637"/>
      <c r="H35" s="2633" t="s">
        <v>374</v>
      </c>
      <c r="I35" s="2646"/>
      <c r="J35" s="2647"/>
      <c r="K35" s="2648"/>
      <c r="L35" s="2344"/>
      <c r="M35" s="2345"/>
      <c r="N35" s="1094"/>
      <c r="O35" s="1095"/>
      <c r="P35" s="1087" t="s">
        <v>1041</v>
      </c>
      <c r="Q35" s="1095"/>
      <c r="R35" s="1095"/>
      <c r="S35" s="1095"/>
      <c r="T35" s="1095"/>
      <c r="U35" s="1095"/>
      <c r="V35" s="1095"/>
      <c r="W35" s="1095"/>
      <c r="X35" s="1095"/>
      <c r="Y35" s="1095"/>
      <c r="Z35" s="1095"/>
      <c r="AA35" s="1095"/>
      <c r="AB35" s="1095"/>
      <c r="AC35" s="1095"/>
      <c r="AD35" s="1095"/>
      <c r="AE35" s="1102"/>
      <c r="AF35" s="2638"/>
      <c r="AG35" s="2639"/>
      <c r="AH35" s="2639"/>
      <c r="AI35" s="2638"/>
      <c r="AJ35" s="2639"/>
      <c r="AK35" s="2639"/>
      <c r="AL35" s="1901"/>
      <c r="AM35" s="1739"/>
      <c r="AN35" s="1739"/>
      <c r="AO35" s="1739"/>
      <c r="AP35" s="1739"/>
      <c r="AQ35" s="1739"/>
      <c r="AR35" s="1739"/>
      <c r="AS35" s="1739"/>
      <c r="AT35" s="1739"/>
      <c r="AU35" s="1739"/>
      <c r="AV35" s="1739"/>
      <c r="AW35" s="1739"/>
      <c r="AX35" s="1739"/>
      <c r="AY35" s="1739"/>
      <c r="AZ35" s="1739"/>
      <c r="BA35" s="1739"/>
      <c r="BB35" s="1739"/>
      <c r="BC35" s="1739"/>
      <c r="BD35" s="1739"/>
      <c r="BE35" s="1739"/>
      <c r="BF35" s="1739"/>
      <c r="BG35" s="2006"/>
    </row>
    <row r="36" spans="1:59" ht="12" customHeight="1">
      <c r="A36" s="1085" t="s">
        <v>1000</v>
      </c>
      <c r="B36" s="1085"/>
      <c r="C36" s="1085"/>
      <c r="D36" s="1079"/>
      <c r="E36" s="1089"/>
      <c r="F36" s="2626"/>
      <c r="G36" s="1109"/>
      <c r="H36" s="1109"/>
      <c r="I36" s="2623" t="s">
        <v>1042</v>
      </c>
      <c r="J36" s="2623"/>
      <c r="K36" s="2623"/>
      <c r="L36" s="1092"/>
      <c r="M36" s="1092"/>
      <c r="N36" s="1093"/>
      <c r="O36" s="1093"/>
      <c r="P36" s="1093"/>
      <c r="Q36" s="1093"/>
      <c r="R36" s="1093"/>
      <c r="S36" s="1093"/>
      <c r="T36" s="1093"/>
      <c r="U36" s="1093"/>
      <c r="V36" s="1093"/>
      <c r="W36" s="1093"/>
      <c r="X36" s="1093"/>
      <c r="Y36" s="1093"/>
      <c r="Z36" s="1093"/>
      <c r="AA36" s="1093"/>
      <c r="AB36" s="1093"/>
      <c r="AC36" s="1093"/>
      <c r="AD36" s="1093"/>
      <c r="AE36" s="1093"/>
      <c r="AF36" s="1093"/>
      <c r="AG36" s="1092"/>
      <c r="AH36" s="1092"/>
      <c r="AI36" s="1093"/>
      <c r="AJ36" s="1092"/>
      <c r="AK36" s="1093"/>
      <c r="AL36" s="1901"/>
      <c r="AM36" s="1739"/>
      <c r="AN36" s="1739"/>
      <c r="AO36" s="1739"/>
      <c r="AP36" s="1739"/>
      <c r="AQ36" s="1739"/>
      <c r="AR36" s="1739"/>
      <c r="AS36" s="1739"/>
      <c r="AT36" s="1739"/>
      <c r="AU36" s="1739"/>
      <c r="AV36" s="1739"/>
      <c r="AW36" s="1739"/>
      <c r="AX36" s="1739"/>
      <c r="AY36" s="1739"/>
      <c r="AZ36" s="1739"/>
      <c r="BA36" s="1739"/>
      <c r="BB36" s="1739"/>
      <c r="BC36" s="1739"/>
      <c r="BD36" s="1739"/>
      <c r="BE36" s="1739"/>
      <c r="BF36" s="1739"/>
      <c r="BG36" s="2006"/>
    </row>
    <row r="37" spans="1:59" ht="0.75" customHeight="1">
      <c r="A37" s="1085" t="s">
        <v>1000</v>
      </c>
      <c r="B37" s="1085"/>
      <c r="C37" s="1085"/>
      <c r="D37" s="1079"/>
      <c r="E37" s="1089"/>
      <c r="F37" s="2624">
        <v>2022</v>
      </c>
      <c r="G37" s="2633"/>
      <c r="H37" s="2629" t="s">
        <v>374</v>
      </c>
      <c r="I37" s="2630"/>
      <c r="J37" s="2628"/>
      <c r="K37" s="2628"/>
      <c r="L37" s="2622"/>
      <c r="M37" s="2489"/>
      <c r="N37" s="1949"/>
      <c r="O37" s="1948"/>
      <c r="P37" s="1949"/>
      <c r="Q37" s="1949"/>
      <c r="R37" s="1949"/>
      <c r="S37" s="1949"/>
      <c r="T37" s="1949"/>
      <c r="U37" s="1949"/>
      <c r="V37" s="1949"/>
      <c r="W37" s="1949"/>
      <c r="X37" s="1949"/>
      <c r="Y37" s="1949"/>
      <c r="Z37" s="1949"/>
      <c r="AA37" s="1949"/>
      <c r="AB37" s="1949"/>
      <c r="AC37" s="1949"/>
      <c r="AD37" s="1949"/>
      <c r="AE37" s="1949"/>
      <c r="AF37" s="2627"/>
      <c r="AG37" s="2622"/>
      <c r="AH37" s="2622"/>
      <c r="AI37" s="2627"/>
      <c r="AJ37" s="2622"/>
      <c r="AK37" s="2622"/>
      <c r="AL37" s="1901"/>
      <c r="AM37" s="1739"/>
      <c r="AN37" s="1739"/>
      <c r="AO37" s="1739"/>
      <c r="AP37" s="1739"/>
      <c r="AQ37" s="1739"/>
      <c r="AR37" s="1739"/>
      <c r="AS37" s="1739"/>
      <c r="AT37" s="1739"/>
      <c r="AU37" s="1739"/>
      <c r="AV37" s="1739"/>
      <c r="AW37" s="1739"/>
      <c r="AX37" s="1739"/>
      <c r="AY37" s="1739"/>
      <c r="AZ37" s="1739"/>
      <c r="BA37" s="1739"/>
      <c r="BB37" s="1739"/>
      <c r="BC37" s="1739"/>
      <c r="BD37" s="1739"/>
      <c r="BE37" s="1739"/>
      <c r="BF37" s="1739"/>
      <c r="BG37" s="2006"/>
    </row>
    <row r="38" spans="1:59" ht="0.75" customHeight="1">
      <c r="A38" s="1085" t="s">
        <v>1000</v>
      </c>
      <c r="B38" s="1085"/>
      <c r="C38" s="1085"/>
      <c r="D38" s="1079"/>
      <c r="E38" s="1089"/>
      <c r="F38" s="2624"/>
      <c r="G38" s="2633"/>
      <c r="H38" s="2629"/>
      <c r="I38" s="2630"/>
      <c r="J38" s="2628"/>
      <c r="K38" s="2628"/>
      <c r="L38" s="2622"/>
      <c r="M38" s="2489"/>
      <c r="N38" s="2631"/>
      <c r="O38" s="2632"/>
      <c r="P38" s="2634"/>
      <c r="Q38" s="2628"/>
      <c r="R38" s="2628"/>
      <c r="S38" s="2628"/>
      <c r="T38" s="2628"/>
      <c r="U38" s="2628"/>
      <c r="V38" s="2628"/>
      <c r="W38" s="2628"/>
      <c r="X38" s="2628"/>
      <c r="Y38" s="2628"/>
      <c r="Z38" s="1950"/>
      <c r="AA38" s="1951"/>
      <c r="AB38" s="1951"/>
      <c r="AC38" s="1952"/>
      <c r="AD38" s="1952"/>
      <c r="AE38" s="1953"/>
      <c r="AF38" s="2627"/>
      <c r="AG38" s="2622"/>
      <c r="AH38" s="2622"/>
      <c r="AI38" s="2627"/>
      <c r="AJ38" s="2622"/>
      <c r="AK38" s="2622"/>
      <c r="AL38" s="1901"/>
      <c r="AM38" s="1739"/>
      <c r="AN38" s="1739"/>
      <c r="AO38" s="1739"/>
      <c r="AP38" s="1739"/>
      <c r="AQ38" s="1739"/>
      <c r="AR38" s="1739"/>
      <c r="AS38" s="1739"/>
      <c r="AT38" s="1739"/>
      <c r="AU38" s="1739"/>
      <c r="AV38" s="1739"/>
      <c r="AW38" s="1739"/>
      <c r="AX38" s="1739"/>
      <c r="AY38" s="1739"/>
      <c r="AZ38" s="1739"/>
      <c r="BA38" s="1739"/>
      <c r="BB38" s="1739"/>
      <c r="BC38" s="1739"/>
      <c r="BD38" s="1739"/>
      <c r="BE38" s="1739"/>
      <c r="BF38" s="1739"/>
      <c r="BG38" s="2006"/>
    </row>
    <row r="39" spans="1:59" ht="0.75" customHeight="1">
      <c r="A39" s="1085" t="s">
        <v>1000</v>
      </c>
      <c r="B39" s="1085"/>
      <c r="C39" s="1085"/>
      <c r="D39" s="1079"/>
      <c r="E39" s="1089"/>
      <c r="F39" s="2624"/>
      <c r="G39" s="2633"/>
      <c r="H39" s="2629"/>
      <c r="I39" s="2630"/>
      <c r="J39" s="2628"/>
      <c r="K39" s="2628"/>
      <c r="L39" s="2622"/>
      <c r="M39" s="2489"/>
      <c r="N39" s="2631"/>
      <c r="O39" s="2632"/>
      <c r="P39" s="2635"/>
      <c r="Q39" s="2628"/>
      <c r="R39" s="2628"/>
      <c r="S39" s="2628"/>
      <c r="T39" s="2628"/>
      <c r="U39" s="2628"/>
      <c r="V39" s="2628"/>
      <c r="W39" s="2628"/>
      <c r="X39" s="2628"/>
      <c r="Y39" s="2628"/>
      <c r="Z39" s="1954"/>
      <c r="AA39" s="1955"/>
      <c r="AB39" s="1956"/>
      <c r="AC39" s="1957"/>
      <c r="AD39" s="1956"/>
      <c r="AE39" s="1957"/>
      <c r="AF39" s="2627"/>
      <c r="AG39" s="2622"/>
      <c r="AH39" s="2622"/>
      <c r="AI39" s="2627"/>
      <c r="AJ39" s="2622"/>
      <c r="AK39" s="2622"/>
      <c r="AL39" s="1901"/>
      <c r="AM39" s="1739"/>
      <c r="AN39" s="1739"/>
      <c r="AO39" s="1739"/>
      <c r="AP39" s="1739"/>
      <c r="AQ39" s="1739"/>
      <c r="AR39" s="1739"/>
      <c r="AS39" s="1739"/>
      <c r="AT39" s="1739"/>
      <c r="AU39" s="1739"/>
      <c r="AV39" s="1739"/>
      <c r="AW39" s="1739"/>
      <c r="AX39" s="1739"/>
      <c r="AY39" s="1739"/>
      <c r="AZ39" s="1739"/>
      <c r="BA39" s="1739"/>
      <c r="BB39" s="1739"/>
      <c r="BC39" s="1739"/>
      <c r="BD39" s="1739"/>
      <c r="BE39" s="1739"/>
      <c r="BF39" s="1739"/>
      <c r="BG39" s="2006"/>
    </row>
    <row r="40" spans="1:59" ht="0.75" customHeight="1">
      <c r="A40" s="1085" t="s">
        <v>1000</v>
      </c>
      <c r="B40" s="1085"/>
      <c r="C40" s="1085"/>
      <c r="D40" s="1079"/>
      <c r="E40" s="1089"/>
      <c r="F40" s="2624"/>
      <c r="G40" s="2633"/>
      <c r="H40" s="2629"/>
      <c r="I40" s="2630"/>
      <c r="J40" s="2628"/>
      <c r="K40" s="2628"/>
      <c r="L40" s="2622"/>
      <c r="M40" s="2489"/>
      <c r="N40" s="2631"/>
      <c r="O40" s="2632"/>
      <c r="P40" s="2636"/>
      <c r="Q40" s="2628"/>
      <c r="R40" s="2628"/>
      <c r="S40" s="2628"/>
      <c r="T40" s="2628"/>
      <c r="U40" s="2628"/>
      <c r="V40" s="2628"/>
      <c r="W40" s="2628"/>
      <c r="X40" s="2628"/>
      <c r="Y40" s="2628"/>
      <c r="Z40" s="1950"/>
      <c r="AA40" s="1951"/>
      <c r="AB40" s="1958"/>
      <c r="AC40" s="1952"/>
      <c r="AD40" s="1952"/>
      <c r="AE40" s="1959"/>
      <c r="AF40" s="2627"/>
      <c r="AG40" s="2622"/>
      <c r="AH40" s="2622"/>
      <c r="AI40" s="2627"/>
      <c r="AJ40" s="2622"/>
      <c r="AK40" s="2622"/>
      <c r="AL40" s="1901"/>
      <c r="AM40" s="1739"/>
      <c r="AN40" s="1739"/>
      <c r="AO40" s="1739"/>
      <c r="AP40" s="1739"/>
      <c r="AQ40" s="1739"/>
      <c r="AR40" s="1739"/>
      <c r="AS40" s="1739"/>
      <c r="AT40" s="1739"/>
      <c r="AU40" s="1739"/>
      <c r="AV40" s="1739"/>
      <c r="AW40" s="1739"/>
      <c r="AX40" s="1739"/>
      <c r="AY40" s="1739"/>
      <c r="AZ40" s="1739"/>
      <c r="BA40" s="1739"/>
      <c r="BB40" s="1739"/>
      <c r="BC40" s="1739"/>
      <c r="BD40" s="1739"/>
      <c r="BE40" s="1739"/>
      <c r="BF40" s="1739"/>
      <c r="BG40" s="2006"/>
    </row>
    <row r="41" spans="1:59" ht="0.75" customHeight="1">
      <c r="A41" s="1085" t="s">
        <v>1000</v>
      </c>
      <c r="B41" s="1085"/>
      <c r="C41" s="1085"/>
      <c r="D41" s="1079"/>
      <c r="E41" s="1089"/>
      <c r="F41" s="2624"/>
      <c r="G41" s="2633"/>
      <c r="H41" s="2629"/>
      <c r="I41" s="2630"/>
      <c r="J41" s="2628"/>
      <c r="K41" s="2628"/>
      <c r="L41" s="2622"/>
      <c r="M41" s="2489"/>
      <c r="N41" s="1951"/>
      <c r="O41" s="1951"/>
      <c r="P41" s="1958"/>
      <c r="Q41" s="1951"/>
      <c r="R41" s="1951"/>
      <c r="S41" s="1951"/>
      <c r="T41" s="1951"/>
      <c r="U41" s="1951"/>
      <c r="V41" s="1951"/>
      <c r="W41" s="1951"/>
      <c r="X41" s="1951"/>
      <c r="Y41" s="1951"/>
      <c r="Z41" s="1951"/>
      <c r="AA41" s="1951"/>
      <c r="AB41" s="1951"/>
      <c r="AC41" s="1951"/>
      <c r="AD41" s="1951"/>
      <c r="AE41" s="1960"/>
      <c r="AF41" s="2627"/>
      <c r="AG41" s="2622"/>
      <c r="AH41" s="2622"/>
      <c r="AI41" s="2627"/>
      <c r="AJ41" s="2622"/>
      <c r="AK41" s="2622"/>
      <c r="AL41" s="1901"/>
      <c r="AM41" s="1739"/>
      <c r="AN41" s="1739"/>
      <c r="AO41" s="1739"/>
      <c r="AP41" s="1739"/>
      <c r="AQ41" s="1739"/>
      <c r="AR41" s="1739"/>
      <c r="AS41" s="1739"/>
      <c r="AT41" s="1739"/>
      <c r="AU41" s="1739"/>
      <c r="AV41" s="1739"/>
      <c r="AW41" s="1739"/>
      <c r="AX41" s="1739"/>
      <c r="AY41" s="1739"/>
      <c r="AZ41" s="1739"/>
      <c r="BA41" s="1739"/>
      <c r="BB41" s="1739"/>
      <c r="BC41" s="1739"/>
      <c r="BD41" s="1739"/>
      <c r="BE41" s="1739"/>
      <c r="BF41" s="1739"/>
      <c r="BG41" s="2006"/>
    </row>
    <row r="42" spans="1:59" ht="11.25" customHeight="1">
      <c r="A42" s="1085" t="s">
        <v>1000</v>
      </c>
      <c r="B42" s="1085" t="s">
        <v>1032</v>
      </c>
      <c r="C42" s="1085"/>
      <c r="D42" s="1079"/>
      <c r="E42" s="1089"/>
      <c r="F42" s="2625"/>
      <c r="G42" s="2615" t="s">
        <v>575</v>
      </c>
      <c r="H42" s="2633" t="s">
        <v>108</v>
      </c>
      <c r="I42" s="2646" t="s">
        <v>1033</v>
      </c>
      <c r="J42" s="2647" t="s">
        <v>1034</v>
      </c>
      <c r="K42" s="2648"/>
      <c r="L42" s="2344" t="s">
        <v>19</v>
      </c>
      <c r="M42" s="2345"/>
      <c r="N42" s="1899"/>
      <c r="O42" s="1096" t="s">
        <v>374</v>
      </c>
      <c r="P42" s="1097"/>
      <c r="Q42" s="1097"/>
      <c r="R42" s="1097"/>
      <c r="S42" s="1097"/>
      <c r="T42" s="1097"/>
      <c r="U42" s="1097"/>
      <c r="V42" s="1097"/>
      <c r="W42" s="1097"/>
      <c r="X42" s="1097"/>
      <c r="Y42" s="1097"/>
      <c r="Z42" s="1097"/>
      <c r="AA42" s="1097"/>
      <c r="AB42" s="1097"/>
      <c r="AC42" s="1097"/>
      <c r="AD42" s="1097"/>
      <c r="AE42" s="1097"/>
      <c r="AF42" s="2638">
        <v>2022</v>
      </c>
      <c r="AG42" s="2639" t="s">
        <v>1035</v>
      </c>
      <c r="AH42" s="2639" t="s">
        <v>1044</v>
      </c>
      <c r="AI42" s="2638">
        <v>2022</v>
      </c>
      <c r="AJ42" s="2639" t="s">
        <v>1045</v>
      </c>
      <c r="AK42" s="2639" t="s">
        <v>1044</v>
      </c>
      <c r="AL42" s="1901"/>
      <c r="AM42" s="1739"/>
      <c r="AN42" s="1739"/>
      <c r="AO42" s="1739"/>
      <c r="AP42" s="1739"/>
      <c r="AQ42" s="1739"/>
      <c r="AR42" s="1739"/>
      <c r="AS42" s="1739"/>
      <c r="AT42" s="1739"/>
      <c r="AU42" s="1739"/>
      <c r="AV42" s="1739"/>
      <c r="AW42" s="1739"/>
      <c r="AX42" s="1739"/>
      <c r="AY42" s="1739"/>
      <c r="AZ42" s="1739"/>
      <c r="BA42" s="1739"/>
      <c r="BB42" s="1739"/>
      <c r="BC42" s="1739"/>
      <c r="BD42" s="1739"/>
      <c r="BE42" s="1739"/>
      <c r="BF42" s="1739"/>
      <c r="BG42" s="2006"/>
    </row>
    <row r="43" spans="1:59" ht="11.25" customHeight="1">
      <c r="A43" s="1085" t="s">
        <v>1000</v>
      </c>
      <c r="B43" s="1085"/>
      <c r="C43" s="1085"/>
      <c r="D43" s="1079"/>
      <c r="E43" s="1089"/>
      <c r="F43" s="2625"/>
      <c r="G43" s="2637"/>
      <c r="H43" s="2633" t="s">
        <v>374</v>
      </c>
      <c r="I43" s="2646"/>
      <c r="J43" s="2647"/>
      <c r="K43" s="2648"/>
      <c r="L43" s="2344"/>
      <c r="M43" s="2345"/>
      <c r="N43" s="2640"/>
      <c r="O43" s="2641">
        <v>1</v>
      </c>
      <c r="P43" s="2642" t="s">
        <v>19</v>
      </c>
      <c r="Q43" s="2597" t="s">
        <v>22</v>
      </c>
      <c r="R43" s="2597" t="s">
        <v>22</v>
      </c>
      <c r="S43" s="2597" t="s">
        <v>22</v>
      </c>
      <c r="T43" s="2597" t="s">
        <v>22</v>
      </c>
      <c r="U43" s="2597" t="s">
        <v>22</v>
      </c>
      <c r="V43" s="2597" t="s">
        <v>22</v>
      </c>
      <c r="W43" s="2597" t="s">
        <v>22</v>
      </c>
      <c r="X43" s="2597" t="s">
        <v>22</v>
      </c>
      <c r="Y43" s="2597"/>
      <c r="Z43" s="1094"/>
      <c r="AA43" s="1095"/>
      <c r="AB43" s="1095"/>
      <c r="AC43" s="1099"/>
      <c r="AD43" s="1099"/>
      <c r="AE43" s="1100"/>
      <c r="AF43" s="2638"/>
      <c r="AG43" s="2639"/>
      <c r="AH43" s="2639"/>
      <c r="AI43" s="2638"/>
      <c r="AJ43" s="2639"/>
      <c r="AK43" s="2639"/>
      <c r="AL43" s="1901"/>
      <c r="AM43" s="1739"/>
      <c r="AN43" s="1739"/>
      <c r="AO43" s="1739"/>
      <c r="AP43" s="1739"/>
      <c r="AQ43" s="1739"/>
      <c r="AR43" s="1739"/>
      <c r="AS43" s="1739"/>
      <c r="AT43" s="1739"/>
      <c r="AU43" s="1739"/>
      <c r="AV43" s="1739"/>
      <c r="AW43" s="1739"/>
      <c r="AX43" s="1739"/>
      <c r="AY43" s="1739"/>
      <c r="AZ43" s="1739"/>
      <c r="BA43" s="1739"/>
      <c r="BB43" s="1739"/>
      <c r="BC43" s="1739"/>
      <c r="BD43" s="1739"/>
      <c r="BE43" s="1739"/>
      <c r="BF43" s="1739"/>
      <c r="BG43" s="2006"/>
    </row>
    <row r="44" spans="1:59" ht="39" customHeight="1">
      <c r="A44" s="1085" t="s">
        <v>1000</v>
      </c>
      <c r="B44" s="1085"/>
      <c r="C44" s="1085"/>
      <c r="D44" s="1079"/>
      <c r="E44" s="1089"/>
      <c r="F44" s="2625"/>
      <c r="G44" s="2637"/>
      <c r="H44" s="2633" t="s">
        <v>374</v>
      </c>
      <c r="I44" s="2646"/>
      <c r="J44" s="2647"/>
      <c r="K44" s="2648"/>
      <c r="L44" s="2344"/>
      <c r="M44" s="2345"/>
      <c r="N44" s="2640"/>
      <c r="O44" s="2641"/>
      <c r="P44" s="2643"/>
      <c r="Q44" s="2597"/>
      <c r="R44" s="2597"/>
      <c r="S44" s="2645"/>
      <c r="T44" s="2597"/>
      <c r="U44" s="2597"/>
      <c r="V44" s="2597"/>
      <c r="W44" s="2597"/>
      <c r="X44" s="2597"/>
      <c r="Y44" s="2597"/>
      <c r="Z44" s="1744"/>
      <c r="AA44" s="1712">
        <v>1</v>
      </c>
      <c r="AB44" s="1098" t="s">
        <v>1039</v>
      </c>
      <c r="AC44" s="1088">
        <v>410.99</v>
      </c>
      <c r="AD44" s="1098" t="str">
        <f>AB44</f>
        <v xml:space="preserve">  Средства, полученные за счет платы за подключение (технологическое присоединение)</v>
      </c>
      <c r="AE44" s="1088">
        <v>436.98579999999998</v>
      </c>
      <c r="AF44" s="2638"/>
      <c r="AG44" s="2639"/>
      <c r="AH44" s="2639"/>
      <c r="AI44" s="2638"/>
      <c r="AJ44" s="2639"/>
      <c r="AK44" s="2639"/>
      <c r="AL44" s="1901"/>
      <c r="AM44" s="1739"/>
      <c r="AN44" s="1739"/>
      <c r="AO44" s="1739"/>
      <c r="AP44" s="1739"/>
      <c r="AQ44" s="1739"/>
      <c r="AR44" s="1739"/>
      <c r="AS44" s="1739"/>
      <c r="AT44" s="1739"/>
      <c r="AU44" s="1739"/>
      <c r="AV44" s="1739"/>
      <c r="AW44" s="1739"/>
      <c r="AX44" s="1739"/>
      <c r="AY44" s="1739"/>
      <c r="AZ44" s="1739"/>
      <c r="BA44" s="1739"/>
      <c r="BB44" s="1739"/>
      <c r="BC44" s="1739"/>
      <c r="BD44" s="1739"/>
      <c r="BE44" s="1739"/>
      <c r="BF44" s="1739"/>
      <c r="BG44" s="2006"/>
    </row>
    <row r="45" spans="1:59" ht="11.25" customHeight="1">
      <c r="A45" s="1085" t="s">
        <v>1000</v>
      </c>
      <c r="B45" s="1085"/>
      <c r="C45" s="1085"/>
      <c r="D45" s="1079"/>
      <c r="E45" s="1089"/>
      <c r="F45" s="2637"/>
      <c r="G45" s="2637"/>
      <c r="H45" s="2637"/>
      <c r="I45" s="2637"/>
      <c r="J45" s="2637"/>
      <c r="K45" s="2637"/>
      <c r="L45" s="2637"/>
      <c r="M45" s="2637"/>
      <c r="N45" s="2637"/>
      <c r="O45" s="2637"/>
      <c r="P45" s="2637"/>
      <c r="Q45" s="2637"/>
      <c r="R45" s="2637"/>
      <c r="S45" s="2637"/>
      <c r="T45" s="2637"/>
      <c r="U45" s="2637"/>
      <c r="V45" s="2637"/>
      <c r="W45" s="2637"/>
      <c r="X45" s="2637"/>
      <c r="Y45" s="2637"/>
      <c r="Z45" s="2004" t="s">
        <v>575</v>
      </c>
      <c r="AA45" s="1732" t="s">
        <v>109</v>
      </c>
      <c r="AB45" s="1098" t="s">
        <v>1046</v>
      </c>
      <c r="AC45" s="1088">
        <v>148876.89000000001</v>
      </c>
      <c r="AD45" s="1098" t="str">
        <f>AB45</f>
        <v xml:space="preserve">  Федеральный бюджет</v>
      </c>
      <c r="AE45" s="1088">
        <v>93284.047000000006</v>
      </c>
      <c r="AF45" s="2649"/>
      <c r="AG45" s="2650"/>
      <c r="AH45" s="2650"/>
      <c r="AI45" s="2649"/>
      <c r="AJ45" s="2650"/>
      <c r="AK45" s="2651"/>
      <c r="AL45" s="1901"/>
      <c r="AM45" s="1739"/>
      <c r="AN45" s="1739"/>
      <c r="AO45" s="1739"/>
      <c r="AP45" s="1739"/>
      <c r="AQ45" s="1739"/>
      <c r="AR45" s="1739"/>
      <c r="AS45" s="1739"/>
      <c r="AT45" s="1739"/>
      <c r="AU45" s="1739"/>
      <c r="AV45" s="1739"/>
      <c r="AW45" s="1739"/>
      <c r="AX45" s="1739"/>
      <c r="AY45" s="1739"/>
      <c r="AZ45" s="1739"/>
      <c r="BA45" s="1739"/>
      <c r="BB45" s="1739"/>
      <c r="BC45" s="1739"/>
      <c r="BD45" s="1739"/>
      <c r="BE45" s="1739"/>
      <c r="BF45" s="1739"/>
      <c r="BG45" s="2006"/>
    </row>
    <row r="46" spans="1:59" ht="11.25" customHeight="1">
      <c r="A46" s="1085" t="s">
        <v>1000</v>
      </c>
      <c r="B46" s="1085"/>
      <c r="C46" s="1085"/>
      <c r="D46" s="1079"/>
      <c r="E46" s="1089"/>
      <c r="F46" s="2625"/>
      <c r="G46" s="2637"/>
      <c r="H46" s="2633" t="s">
        <v>374</v>
      </c>
      <c r="I46" s="2646"/>
      <c r="J46" s="2647"/>
      <c r="K46" s="2648"/>
      <c r="L46" s="2344"/>
      <c r="M46" s="2345"/>
      <c r="N46" s="2640"/>
      <c r="O46" s="2641"/>
      <c r="P46" s="2644"/>
      <c r="Q46" s="2597"/>
      <c r="R46" s="2597"/>
      <c r="S46" s="2645"/>
      <c r="T46" s="2597"/>
      <c r="U46" s="2597"/>
      <c r="V46" s="2597"/>
      <c r="W46" s="2597"/>
      <c r="X46" s="2597"/>
      <c r="Y46" s="2597"/>
      <c r="Z46" s="1094"/>
      <c r="AA46" s="1095"/>
      <c r="AB46" s="1160" t="s">
        <v>1040</v>
      </c>
      <c r="AC46" s="1099"/>
      <c r="AD46" s="1099"/>
      <c r="AE46" s="1101"/>
      <c r="AF46" s="2638"/>
      <c r="AG46" s="2639"/>
      <c r="AH46" s="2639"/>
      <c r="AI46" s="2638"/>
      <c r="AJ46" s="2639"/>
      <c r="AK46" s="2639"/>
      <c r="AL46" s="1901"/>
      <c r="AM46" s="1739"/>
      <c r="AN46" s="1739"/>
      <c r="AO46" s="1739"/>
      <c r="AP46" s="1739"/>
      <c r="AQ46" s="1739"/>
      <c r="AR46" s="1739"/>
      <c r="AS46" s="1739"/>
      <c r="AT46" s="1739"/>
      <c r="AU46" s="1739"/>
      <c r="AV46" s="1739"/>
      <c r="AW46" s="1739"/>
      <c r="AX46" s="1739"/>
      <c r="AY46" s="1739"/>
      <c r="AZ46" s="1739"/>
      <c r="BA46" s="1739"/>
      <c r="BB46" s="1739"/>
      <c r="BC46" s="1739"/>
      <c r="BD46" s="1739"/>
      <c r="BE46" s="1739"/>
      <c r="BF46" s="1739"/>
      <c r="BG46" s="2006"/>
    </row>
    <row r="47" spans="1:59" ht="11.25" customHeight="1">
      <c r="A47" s="1085" t="s">
        <v>1000</v>
      </c>
      <c r="B47" s="1085"/>
      <c r="C47" s="1085"/>
      <c r="D47" s="1079"/>
      <c r="E47" s="1089"/>
      <c r="F47" s="2625"/>
      <c r="G47" s="2637"/>
      <c r="H47" s="2633" t="s">
        <v>374</v>
      </c>
      <c r="I47" s="2646"/>
      <c r="J47" s="2647"/>
      <c r="K47" s="2648"/>
      <c r="L47" s="2344"/>
      <c r="M47" s="2345"/>
      <c r="N47" s="1094"/>
      <c r="O47" s="1095"/>
      <c r="P47" s="1087" t="s">
        <v>1041</v>
      </c>
      <c r="Q47" s="1095"/>
      <c r="R47" s="1095"/>
      <c r="S47" s="1095"/>
      <c r="T47" s="1095"/>
      <c r="U47" s="1095"/>
      <c r="V47" s="1095"/>
      <c r="W47" s="1095"/>
      <c r="X47" s="1095"/>
      <c r="Y47" s="1095"/>
      <c r="Z47" s="1095"/>
      <c r="AA47" s="1095"/>
      <c r="AB47" s="1095"/>
      <c r="AC47" s="1095"/>
      <c r="AD47" s="1095"/>
      <c r="AE47" s="1102"/>
      <c r="AF47" s="2638"/>
      <c r="AG47" s="2639"/>
      <c r="AH47" s="2639"/>
      <c r="AI47" s="2638"/>
      <c r="AJ47" s="2639"/>
      <c r="AK47" s="2639"/>
      <c r="AL47" s="1901"/>
      <c r="AM47" s="1739"/>
      <c r="AN47" s="1739"/>
      <c r="AO47" s="1739"/>
      <c r="AP47" s="1739"/>
      <c r="AQ47" s="1739"/>
      <c r="AR47" s="1739"/>
      <c r="AS47" s="1739"/>
      <c r="AT47" s="1739"/>
      <c r="AU47" s="1739"/>
      <c r="AV47" s="1739"/>
      <c r="AW47" s="1739"/>
      <c r="AX47" s="1739"/>
      <c r="AY47" s="1739"/>
      <c r="AZ47" s="1739"/>
      <c r="BA47" s="1739"/>
      <c r="BB47" s="1739"/>
      <c r="BC47" s="1739"/>
      <c r="BD47" s="1739"/>
      <c r="BE47" s="1739"/>
      <c r="BF47" s="1739"/>
      <c r="BG47" s="2006"/>
    </row>
    <row r="48" spans="1:59" ht="12" customHeight="1">
      <c r="A48" s="1085" t="s">
        <v>1000</v>
      </c>
      <c r="B48" s="1085"/>
      <c r="C48" s="1085"/>
      <c r="D48" s="1079"/>
      <c r="E48" s="1089"/>
      <c r="F48" s="2626"/>
      <c r="G48" s="1109"/>
      <c r="H48" s="1109"/>
      <c r="I48" s="2623" t="s">
        <v>1042</v>
      </c>
      <c r="J48" s="2623"/>
      <c r="K48" s="2623"/>
      <c r="L48" s="1092"/>
      <c r="M48" s="1092"/>
      <c r="N48" s="1093"/>
      <c r="O48" s="1093"/>
      <c r="P48" s="1093"/>
      <c r="Q48" s="1093"/>
      <c r="R48" s="1093"/>
      <c r="S48" s="1093"/>
      <c r="T48" s="1093"/>
      <c r="U48" s="1093"/>
      <c r="V48" s="1093"/>
      <c r="W48" s="1093"/>
      <c r="X48" s="1093"/>
      <c r="Y48" s="1093"/>
      <c r="Z48" s="1093"/>
      <c r="AA48" s="1093"/>
      <c r="AB48" s="1093"/>
      <c r="AC48" s="1093"/>
      <c r="AD48" s="1093"/>
      <c r="AE48" s="1093"/>
      <c r="AF48" s="1093"/>
      <c r="AG48" s="1092"/>
      <c r="AH48" s="1092"/>
      <c r="AI48" s="1093"/>
      <c r="AJ48" s="1092"/>
      <c r="AK48" s="1093"/>
      <c r="AL48" s="1901"/>
      <c r="AM48" s="1739"/>
      <c r="AN48" s="1739"/>
      <c r="AO48" s="1739"/>
      <c r="AP48" s="1739"/>
      <c r="AQ48" s="1739"/>
      <c r="AR48" s="1739"/>
      <c r="AS48" s="1739"/>
      <c r="AT48" s="1739"/>
      <c r="AU48" s="1739"/>
      <c r="AV48" s="1739"/>
      <c r="AW48" s="1739"/>
      <c r="AX48" s="1739"/>
      <c r="AY48" s="1739"/>
      <c r="AZ48" s="1739"/>
      <c r="BA48" s="1739"/>
      <c r="BB48" s="1739"/>
      <c r="BC48" s="1739"/>
      <c r="BD48" s="1739"/>
      <c r="BE48" s="1739"/>
      <c r="BF48" s="1739"/>
      <c r="BG48" s="2006"/>
    </row>
    <row r="49" spans="1:59" ht="0.75" customHeight="1">
      <c r="A49" s="1085" t="s">
        <v>1000</v>
      </c>
      <c r="B49" s="1085"/>
      <c r="C49" s="1085"/>
      <c r="D49" s="1079"/>
      <c r="E49" s="1089"/>
      <c r="F49" s="2624">
        <v>2023</v>
      </c>
      <c r="G49" s="2633"/>
      <c r="H49" s="2629" t="s">
        <v>374</v>
      </c>
      <c r="I49" s="2630"/>
      <c r="J49" s="2628"/>
      <c r="K49" s="2628"/>
      <c r="L49" s="2622"/>
      <c r="M49" s="2489"/>
      <c r="N49" s="1949"/>
      <c r="O49" s="1948"/>
      <c r="P49" s="1949"/>
      <c r="Q49" s="1949"/>
      <c r="R49" s="1949"/>
      <c r="S49" s="1949"/>
      <c r="T49" s="1949"/>
      <c r="U49" s="1949"/>
      <c r="V49" s="1949"/>
      <c r="W49" s="1949"/>
      <c r="X49" s="1949"/>
      <c r="Y49" s="1949"/>
      <c r="Z49" s="1949"/>
      <c r="AA49" s="1949"/>
      <c r="AB49" s="1949"/>
      <c r="AC49" s="1949"/>
      <c r="AD49" s="1949"/>
      <c r="AE49" s="1949"/>
      <c r="AF49" s="2627"/>
      <c r="AG49" s="2622"/>
      <c r="AH49" s="2622"/>
      <c r="AI49" s="2627"/>
      <c r="AJ49" s="2622"/>
      <c r="AK49" s="2622"/>
      <c r="AL49" s="1901"/>
      <c r="AM49" s="1739"/>
      <c r="AN49" s="1739"/>
      <c r="AO49" s="1739"/>
      <c r="AP49" s="1739"/>
      <c r="AQ49" s="1739"/>
      <c r="AR49" s="1739"/>
      <c r="AS49" s="1739"/>
      <c r="AT49" s="1739"/>
      <c r="AU49" s="1739"/>
      <c r="AV49" s="1739"/>
      <c r="AW49" s="1739"/>
      <c r="AX49" s="1739"/>
      <c r="AY49" s="1739"/>
      <c r="AZ49" s="1739"/>
      <c r="BA49" s="1739"/>
      <c r="BB49" s="1739"/>
      <c r="BC49" s="1739"/>
      <c r="BD49" s="1739"/>
      <c r="BE49" s="1739"/>
      <c r="BF49" s="1739"/>
      <c r="BG49" s="2006"/>
    </row>
    <row r="50" spans="1:59" ht="0.75" customHeight="1">
      <c r="A50" s="1085" t="s">
        <v>1000</v>
      </c>
      <c r="B50" s="1085"/>
      <c r="C50" s="1085"/>
      <c r="D50" s="1079"/>
      <c r="E50" s="1089"/>
      <c r="F50" s="2624"/>
      <c r="G50" s="2633"/>
      <c r="H50" s="2629"/>
      <c r="I50" s="2630"/>
      <c r="J50" s="2628"/>
      <c r="K50" s="2628"/>
      <c r="L50" s="2622"/>
      <c r="M50" s="2489"/>
      <c r="N50" s="2631"/>
      <c r="O50" s="2632"/>
      <c r="P50" s="2634"/>
      <c r="Q50" s="2628"/>
      <c r="R50" s="2628"/>
      <c r="S50" s="2628"/>
      <c r="T50" s="2628"/>
      <c r="U50" s="2628"/>
      <c r="V50" s="2628"/>
      <c r="W50" s="2628"/>
      <c r="X50" s="2628"/>
      <c r="Y50" s="2628"/>
      <c r="Z50" s="1950"/>
      <c r="AA50" s="1951"/>
      <c r="AB50" s="1951"/>
      <c r="AC50" s="1952"/>
      <c r="AD50" s="1952"/>
      <c r="AE50" s="1953"/>
      <c r="AF50" s="2627"/>
      <c r="AG50" s="2622"/>
      <c r="AH50" s="2622"/>
      <c r="AI50" s="2627"/>
      <c r="AJ50" s="2622"/>
      <c r="AK50" s="2622"/>
      <c r="AL50" s="1901"/>
      <c r="AM50" s="1739"/>
      <c r="AN50" s="1739"/>
      <c r="AO50" s="1739"/>
      <c r="AP50" s="1739"/>
      <c r="AQ50" s="1739"/>
      <c r="AR50" s="1739"/>
      <c r="AS50" s="1739"/>
      <c r="AT50" s="1739"/>
      <c r="AU50" s="1739"/>
      <c r="AV50" s="1739"/>
      <c r="AW50" s="1739"/>
      <c r="AX50" s="1739"/>
      <c r="AY50" s="1739"/>
      <c r="AZ50" s="1739"/>
      <c r="BA50" s="1739"/>
      <c r="BB50" s="1739"/>
      <c r="BC50" s="1739"/>
      <c r="BD50" s="1739"/>
      <c r="BE50" s="1739"/>
      <c r="BF50" s="1739"/>
      <c r="BG50" s="2006"/>
    </row>
    <row r="51" spans="1:59" ht="0.75" customHeight="1">
      <c r="A51" s="1085" t="s">
        <v>1000</v>
      </c>
      <c r="B51" s="1085"/>
      <c r="C51" s="1085"/>
      <c r="D51" s="1079"/>
      <c r="E51" s="1089"/>
      <c r="F51" s="2624"/>
      <c r="G51" s="2633"/>
      <c r="H51" s="2629"/>
      <c r="I51" s="2630"/>
      <c r="J51" s="2628"/>
      <c r="K51" s="2628"/>
      <c r="L51" s="2622"/>
      <c r="M51" s="2489"/>
      <c r="N51" s="2631"/>
      <c r="O51" s="2632"/>
      <c r="P51" s="2635"/>
      <c r="Q51" s="2628"/>
      <c r="R51" s="2628"/>
      <c r="S51" s="2628"/>
      <c r="T51" s="2628"/>
      <c r="U51" s="2628"/>
      <c r="V51" s="2628"/>
      <c r="W51" s="2628"/>
      <c r="X51" s="2628"/>
      <c r="Y51" s="2628"/>
      <c r="Z51" s="1954"/>
      <c r="AA51" s="1955"/>
      <c r="AB51" s="1956"/>
      <c r="AC51" s="1957"/>
      <c r="AD51" s="1956"/>
      <c r="AE51" s="1957"/>
      <c r="AF51" s="2627"/>
      <c r="AG51" s="2622"/>
      <c r="AH51" s="2622"/>
      <c r="AI51" s="2627"/>
      <c r="AJ51" s="2622"/>
      <c r="AK51" s="2622"/>
      <c r="AL51" s="1901"/>
      <c r="AM51" s="1739"/>
      <c r="AN51" s="1739"/>
      <c r="AO51" s="1739"/>
      <c r="AP51" s="1739"/>
      <c r="AQ51" s="1739"/>
      <c r="AR51" s="1739"/>
      <c r="AS51" s="1739"/>
      <c r="AT51" s="1739"/>
      <c r="AU51" s="1739"/>
      <c r="AV51" s="1739"/>
      <c r="AW51" s="1739"/>
      <c r="AX51" s="1739"/>
      <c r="AY51" s="1739"/>
      <c r="AZ51" s="1739"/>
      <c r="BA51" s="1739"/>
      <c r="BB51" s="1739"/>
      <c r="BC51" s="1739"/>
      <c r="BD51" s="1739"/>
      <c r="BE51" s="1739"/>
      <c r="BF51" s="1739"/>
      <c r="BG51" s="2006"/>
    </row>
    <row r="52" spans="1:59" ht="0.75" customHeight="1">
      <c r="A52" s="1085" t="s">
        <v>1000</v>
      </c>
      <c r="B52" s="1085"/>
      <c r="C52" s="1085"/>
      <c r="D52" s="1079"/>
      <c r="E52" s="1089"/>
      <c r="F52" s="2624"/>
      <c r="G52" s="2633"/>
      <c r="H52" s="2629"/>
      <c r="I52" s="2630"/>
      <c r="J52" s="2628"/>
      <c r="K52" s="2628"/>
      <c r="L52" s="2622"/>
      <c r="M52" s="2489"/>
      <c r="N52" s="2631"/>
      <c r="O52" s="2632"/>
      <c r="P52" s="2636"/>
      <c r="Q52" s="2628"/>
      <c r="R52" s="2628"/>
      <c r="S52" s="2628"/>
      <c r="T52" s="2628"/>
      <c r="U52" s="2628"/>
      <c r="V52" s="2628"/>
      <c r="W52" s="2628"/>
      <c r="X52" s="2628"/>
      <c r="Y52" s="2628"/>
      <c r="Z52" s="1950"/>
      <c r="AA52" s="1951"/>
      <c r="AB52" s="1958"/>
      <c r="AC52" s="1952"/>
      <c r="AD52" s="1952"/>
      <c r="AE52" s="1959"/>
      <c r="AF52" s="2627"/>
      <c r="AG52" s="2622"/>
      <c r="AH52" s="2622"/>
      <c r="AI52" s="2627"/>
      <c r="AJ52" s="2622"/>
      <c r="AK52" s="2622"/>
      <c r="AL52" s="1901"/>
      <c r="AM52" s="1739"/>
      <c r="AN52" s="1739"/>
      <c r="AO52" s="1739"/>
      <c r="AP52" s="1739"/>
      <c r="AQ52" s="1739"/>
      <c r="AR52" s="1739"/>
      <c r="AS52" s="1739"/>
      <c r="AT52" s="1739"/>
      <c r="AU52" s="1739"/>
      <c r="AV52" s="1739"/>
      <c r="AW52" s="1739"/>
      <c r="AX52" s="1739"/>
      <c r="AY52" s="1739"/>
      <c r="AZ52" s="1739"/>
      <c r="BA52" s="1739"/>
      <c r="BB52" s="1739"/>
      <c r="BC52" s="1739"/>
      <c r="BD52" s="1739"/>
      <c r="BE52" s="1739"/>
      <c r="BF52" s="1739"/>
      <c r="BG52" s="2006"/>
    </row>
    <row r="53" spans="1:59" ht="0.75" customHeight="1">
      <c r="A53" s="1085" t="s">
        <v>1000</v>
      </c>
      <c r="B53" s="1085"/>
      <c r="C53" s="1085"/>
      <c r="D53" s="1079"/>
      <c r="E53" s="1089"/>
      <c r="F53" s="2624"/>
      <c r="G53" s="2633"/>
      <c r="H53" s="2629"/>
      <c r="I53" s="2630"/>
      <c r="J53" s="2628"/>
      <c r="K53" s="2628"/>
      <c r="L53" s="2622"/>
      <c r="M53" s="2489"/>
      <c r="N53" s="1951"/>
      <c r="O53" s="1951"/>
      <c r="P53" s="1958"/>
      <c r="Q53" s="1951"/>
      <c r="R53" s="1951"/>
      <c r="S53" s="1951"/>
      <c r="T53" s="1951"/>
      <c r="U53" s="1951"/>
      <c r="V53" s="1951"/>
      <c r="W53" s="1951"/>
      <c r="X53" s="1951"/>
      <c r="Y53" s="1951"/>
      <c r="Z53" s="1951"/>
      <c r="AA53" s="1951"/>
      <c r="AB53" s="1951"/>
      <c r="AC53" s="1951"/>
      <c r="AD53" s="1951"/>
      <c r="AE53" s="1960"/>
      <c r="AF53" s="2627"/>
      <c r="AG53" s="2622"/>
      <c r="AH53" s="2622"/>
      <c r="AI53" s="2627"/>
      <c r="AJ53" s="2622"/>
      <c r="AK53" s="2622"/>
      <c r="AL53" s="1901"/>
      <c r="AM53" s="1739"/>
      <c r="AN53" s="1739"/>
      <c r="AO53" s="1739"/>
      <c r="AP53" s="1739"/>
      <c r="AQ53" s="1739"/>
      <c r="AR53" s="1739"/>
      <c r="AS53" s="1739"/>
      <c r="AT53" s="1739"/>
      <c r="AU53" s="1739"/>
      <c r="AV53" s="1739"/>
      <c r="AW53" s="1739"/>
      <c r="AX53" s="1739"/>
      <c r="AY53" s="1739"/>
      <c r="AZ53" s="1739"/>
      <c r="BA53" s="1739"/>
      <c r="BB53" s="1739"/>
      <c r="BC53" s="1739"/>
      <c r="BD53" s="1739"/>
      <c r="BE53" s="1739"/>
      <c r="BF53" s="1739"/>
      <c r="BG53" s="2006"/>
    </row>
    <row r="54" spans="1:59" ht="11.25" customHeight="1">
      <c r="A54" s="1085" t="s">
        <v>1000</v>
      </c>
      <c r="B54" s="1085" t="s">
        <v>1032</v>
      </c>
      <c r="C54" s="1085"/>
      <c r="D54" s="1079"/>
      <c r="E54" s="1089"/>
      <c r="F54" s="2625"/>
      <c r="G54" s="2615" t="s">
        <v>575</v>
      </c>
      <c r="H54" s="2633" t="s">
        <v>108</v>
      </c>
      <c r="I54" s="2646" t="s">
        <v>1033</v>
      </c>
      <c r="J54" s="2647" t="s">
        <v>1034</v>
      </c>
      <c r="K54" s="2648"/>
      <c r="L54" s="2344" t="s">
        <v>19</v>
      </c>
      <c r="M54" s="2345"/>
      <c r="N54" s="1899"/>
      <c r="O54" s="1096" t="s">
        <v>374</v>
      </c>
      <c r="P54" s="1097"/>
      <c r="Q54" s="1097"/>
      <c r="R54" s="1097"/>
      <c r="S54" s="1097"/>
      <c r="T54" s="1097"/>
      <c r="U54" s="1097"/>
      <c r="V54" s="1097"/>
      <c r="W54" s="1097"/>
      <c r="X54" s="1097"/>
      <c r="Y54" s="1097"/>
      <c r="Z54" s="1097"/>
      <c r="AA54" s="1097"/>
      <c r="AB54" s="1097"/>
      <c r="AC54" s="1097"/>
      <c r="AD54" s="1097"/>
      <c r="AE54" s="1097"/>
      <c r="AF54" s="2638">
        <v>2023</v>
      </c>
      <c r="AG54" s="2639" t="s">
        <v>1035</v>
      </c>
      <c r="AH54" s="2639" t="s">
        <v>1047</v>
      </c>
      <c r="AI54" s="2638">
        <v>2023</v>
      </c>
      <c r="AJ54" s="2639" t="s">
        <v>1035</v>
      </c>
      <c r="AK54" s="2639" t="s">
        <v>1047</v>
      </c>
      <c r="AL54" s="1901"/>
      <c r="AM54" s="1739"/>
      <c r="AN54" s="1739"/>
      <c r="AO54" s="1739"/>
      <c r="AP54" s="1739"/>
      <c r="AQ54" s="1739"/>
      <c r="AR54" s="1739"/>
      <c r="AS54" s="1739"/>
      <c r="AT54" s="1739"/>
      <c r="AU54" s="1739"/>
      <c r="AV54" s="1739"/>
      <c r="AW54" s="1739"/>
      <c r="AX54" s="1739"/>
      <c r="AY54" s="1739"/>
      <c r="AZ54" s="1739"/>
      <c r="BA54" s="1739"/>
      <c r="BB54" s="1739"/>
      <c r="BC54" s="1739"/>
      <c r="BD54" s="1739"/>
      <c r="BE54" s="1739"/>
      <c r="BF54" s="1739"/>
      <c r="BG54" s="2006"/>
    </row>
    <row r="55" spans="1:59" ht="11.25" customHeight="1">
      <c r="A55" s="1085" t="s">
        <v>1000</v>
      </c>
      <c r="B55" s="1085"/>
      <c r="C55" s="1085"/>
      <c r="D55" s="1079"/>
      <c r="E55" s="1089"/>
      <c r="F55" s="2625"/>
      <c r="G55" s="2637"/>
      <c r="H55" s="2633" t="s">
        <v>374</v>
      </c>
      <c r="I55" s="2646"/>
      <c r="J55" s="2647"/>
      <c r="K55" s="2648"/>
      <c r="L55" s="2344"/>
      <c r="M55" s="2345"/>
      <c r="N55" s="2640"/>
      <c r="O55" s="2641">
        <v>1</v>
      </c>
      <c r="P55" s="2642" t="s">
        <v>19</v>
      </c>
      <c r="Q55" s="2597" t="s">
        <v>22</v>
      </c>
      <c r="R55" s="2597" t="s">
        <v>22</v>
      </c>
      <c r="S55" s="2597" t="s">
        <v>22</v>
      </c>
      <c r="T55" s="2597" t="s">
        <v>22</v>
      </c>
      <c r="U55" s="2597" t="s">
        <v>22</v>
      </c>
      <c r="V55" s="2597" t="s">
        <v>22</v>
      </c>
      <c r="W55" s="2597" t="s">
        <v>22</v>
      </c>
      <c r="X55" s="2597" t="s">
        <v>22</v>
      </c>
      <c r="Y55" s="2597"/>
      <c r="Z55" s="1094"/>
      <c r="AA55" s="1095"/>
      <c r="AB55" s="1095"/>
      <c r="AC55" s="1099"/>
      <c r="AD55" s="1099"/>
      <c r="AE55" s="1100"/>
      <c r="AF55" s="2638"/>
      <c r="AG55" s="2639"/>
      <c r="AH55" s="2639"/>
      <c r="AI55" s="2638"/>
      <c r="AJ55" s="2639"/>
      <c r="AK55" s="2639"/>
      <c r="AL55" s="1901"/>
      <c r="AM55" s="1739"/>
      <c r="AN55" s="1739"/>
      <c r="AO55" s="1739"/>
      <c r="AP55" s="1739"/>
      <c r="AQ55" s="1739"/>
      <c r="AR55" s="1739"/>
      <c r="AS55" s="1739"/>
      <c r="AT55" s="1739"/>
      <c r="AU55" s="1739"/>
      <c r="AV55" s="1739"/>
      <c r="AW55" s="1739"/>
      <c r="AX55" s="1739"/>
      <c r="AY55" s="1739"/>
      <c r="AZ55" s="1739"/>
      <c r="BA55" s="1739"/>
      <c r="BB55" s="1739"/>
      <c r="BC55" s="1739"/>
      <c r="BD55" s="1739"/>
      <c r="BE55" s="1739"/>
      <c r="BF55" s="1739"/>
      <c r="BG55" s="2006"/>
    </row>
    <row r="56" spans="1:59" ht="42" customHeight="1">
      <c r="A56" s="1085" t="s">
        <v>1000</v>
      </c>
      <c r="B56" s="1085"/>
      <c r="C56" s="1085"/>
      <c r="D56" s="1079"/>
      <c r="E56" s="1089"/>
      <c r="F56" s="2625"/>
      <c r="G56" s="2637"/>
      <c r="H56" s="2633" t="s">
        <v>374</v>
      </c>
      <c r="I56" s="2646"/>
      <c r="J56" s="2647"/>
      <c r="K56" s="2648"/>
      <c r="L56" s="2344"/>
      <c r="M56" s="2345"/>
      <c r="N56" s="2640"/>
      <c r="O56" s="2641"/>
      <c r="P56" s="2643"/>
      <c r="Q56" s="2597"/>
      <c r="R56" s="2597"/>
      <c r="S56" s="2645"/>
      <c r="T56" s="2597"/>
      <c r="U56" s="2597"/>
      <c r="V56" s="2597"/>
      <c r="W56" s="2597"/>
      <c r="X56" s="2597"/>
      <c r="Y56" s="2597"/>
      <c r="Z56" s="1744"/>
      <c r="AA56" s="1712">
        <v>1</v>
      </c>
      <c r="AB56" s="1098" t="s">
        <v>1039</v>
      </c>
      <c r="AC56" s="1088">
        <v>6022.79</v>
      </c>
      <c r="AD56" s="1098" t="str">
        <f>AB56</f>
        <v xml:space="preserve">  Средства, полученные за счет платы за подключение (технологическое присоединение)</v>
      </c>
      <c r="AE56" s="1088">
        <v>20505.884279999998</v>
      </c>
      <c r="AF56" s="2638"/>
      <c r="AG56" s="2639"/>
      <c r="AH56" s="2639"/>
      <c r="AI56" s="2638"/>
      <c r="AJ56" s="2639"/>
      <c r="AK56" s="2639"/>
      <c r="AL56" s="1901"/>
      <c r="AM56" s="1739"/>
      <c r="AN56" s="1739"/>
      <c r="AO56" s="1739"/>
      <c r="AP56" s="1739"/>
      <c r="AQ56" s="1739"/>
      <c r="AR56" s="1739"/>
      <c r="AS56" s="1739"/>
      <c r="AT56" s="1739"/>
      <c r="AU56" s="1739"/>
      <c r="AV56" s="1739"/>
      <c r="AW56" s="1739"/>
      <c r="AX56" s="1739"/>
      <c r="AY56" s="1739"/>
      <c r="AZ56" s="1739"/>
      <c r="BA56" s="1739"/>
      <c r="BB56" s="1739"/>
      <c r="BC56" s="1739"/>
      <c r="BD56" s="1739"/>
      <c r="BE56" s="1739"/>
      <c r="BF56" s="1739"/>
      <c r="BG56" s="2006"/>
    </row>
    <row r="57" spans="1:59" ht="11.25" customHeight="1">
      <c r="A57" s="1085" t="s">
        <v>1000</v>
      </c>
      <c r="B57" s="1085"/>
      <c r="C57" s="1085"/>
      <c r="D57" s="1079"/>
      <c r="E57" s="1089"/>
      <c r="F57" s="2637"/>
      <c r="G57" s="2637"/>
      <c r="H57" s="2637"/>
      <c r="I57" s="2637"/>
      <c r="J57" s="2637"/>
      <c r="K57" s="2637"/>
      <c r="L57" s="2637"/>
      <c r="M57" s="2637"/>
      <c r="N57" s="2637"/>
      <c r="O57" s="2637"/>
      <c r="P57" s="2637"/>
      <c r="Q57" s="2637"/>
      <c r="R57" s="2637"/>
      <c r="S57" s="2637"/>
      <c r="T57" s="2637"/>
      <c r="U57" s="2637"/>
      <c r="V57" s="2637"/>
      <c r="W57" s="2637"/>
      <c r="X57" s="2637"/>
      <c r="Y57" s="2637"/>
      <c r="Z57" s="2004" t="s">
        <v>575</v>
      </c>
      <c r="AA57" s="1732" t="s">
        <v>109</v>
      </c>
      <c r="AB57" s="1098" t="s">
        <v>1046</v>
      </c>
      <c r="AC57" s="1088">
        <v>141575.6</v>
      </c>
      <c r="AD57" s="1098" t="str">
        <f>AB57</f>
        <v xml:space="preserve">  Федеральный бюджет</v>
      </c>
      <c r="AE57" s="1088">
        <v>197167.97099999999</v>
      </c>
      <c r="AF57" s="2649"/>
      <c r="AG57" s="2650"/>
      <c r="AH57" s="2650"/>
      <c r="AI57" s="2649"/>
      <c r="AJ57" s="2650"/>
      <c r="AK57" s="2651"/>
      <c r="AL57" s="1901"/>
      <c r="AM57" s="1739"/>
      <c r="AN57" s="1739"/>
      <c r="AO57" s="1739"/>
      <c r="AP57" s="1739"/>
      <c r="AQ57" s="1739"/>
      <c r="AR57" s="1739"/>
      <c r="AS57" s="1739"/>
      <c r="AT57" s="1739"/>
      <c r="AU57" s="1739"/>
      <c r="AV57" s="1739"/>
      <c r="AW57" s="1739"/>
      <c r="AX57" s="1739"/>
      <c r="AY57" s="1739"/>
      <c r="AZ57" s="1739"/>
      <c r="BA57" s="1739"/>
      <c r="BB57" s="1739"/>
      <c r="BC57" s="1739"/>
      <c r="BD57" s="1739"/>
      <c r="BE57" s="1739"/>
      <c r="BF57" s="1739"/>
      <c r="BG57" s="2006"/>
    </row>
    <row r="58" spans="1:59" ht="11.25" customHeight="1">
      <c r="A58" s="1085" t="s">
        <v>1000</v>
      </c>
      <c r="B58" s="1085"/>
      <c r="C58" s="1085"/>
      <c r="D58" s="1079"/>
      <c r="E58" s="1089"/>
      <c r="F58" s="2625"/>
      <c r="G58" s="2637"/>
      <c r="H58" s="2633" t="s">
        <v>374</v>
      </c>
      <c r="I58" s="2646"/>
      <c r="J58" s="2647"/>
      <c r="K58" s="2648"/>
      <c r="L58" s="2344"/>
      <c r="M58" s="2345"/>
      <c r="N58" s="2640"/>
      <c r="O58" s="2641"/>
      <c r="P58" s="2644"/>
      <c r="Q58" s="2597"/>
      <c r="R58" s="2597"/>
      <c r="S58" s="2645"/>
      <c r="T58" s="2597"/>
      <c r="U58" s="2597"/>
      <c r="V58" s="2597"/>
      <c r="W58" s="2597"/>
      <c r="X58" s="2597"/>
      <c r="Y58" s="2597"/>
      <c r="Z58" s="1094"/>
      <c r="AA58" s="1095"/>
      <c r="AB58" s="1160" t="s">
        <v>1040</v>
      </c>
      <c r="AC58" s="1099"/>
      <c r="AD58" s="1099"/>
      <c r="AE58" s="1101"/>
      <c r="AF58" s="2638"/>
      <c r="AG58" s="2639"/>
      <c r="AH58" s="2639"/>
      <c r="AI58" s="2638"/>
      <c r="AJ58" s="2639"/>
      <c r="AK58" s="2639"/>
      <c r="AL58" s="1901"/>
      <c r="AM58" s="1739"/>
      <c r="AN58" s="1739"/>
      <c r="AO58" s="1739"/>
      <c r="AP58" s="1739"/>
      <c r="AQ58" s="1739"/>
      <c r="AR58" s="1739"/>
      <c r="AS58" s="1739"/>
      <c r="AT58" s="1739"/>
      <c r="AU58" s="1739"/>
      <c r="AV58" s="1739"/>
      <c r="AW58" s="1739"/>
      <c r="AX58" s="1739"/>
      <c r="AY58" s="1739"/>
      <c r="AZ58" s="1739"/>
      <c r="BA58" s="1739"/>
      <c r="BB58" s="1739"/>
      <c r="BC58" s="1739"/>
      <c r="BD58" s="1739"/>
      <c r="BE58" s="1739"/>
      <c r="BF58" s="1739"/>
      <c r="BG58" s="2006"/>
    </row>
    <row r="59" spans="1:59" ht="11.25" customHeight="1">
      <c r="A59" s="1085" t="s">
        <v>1000</v>
      </c>
      <c r="B59" s="1085"/>
      <c r="C59" s="1085"/>
      <c r="D59" s="1079"/>
      <c r="E59" s="1089"/>
      <c r="F59" s="2625"/>
      <c r="G59" s="2637"/>
      <c r="H59" s="2633" t="s">
        <v>374</v>
      </c>
      <c r="I59" s="2646"/>
      <c r="J59" s="2647"/>
      <c r="K59" s="2648"/>
      <c r="L59" s="2344"/>
      <c r="M59" s="2345"/>
      <c r="N59" s="1094"/>
      <c r="O59" s="1095"/>
      <c r="P59" s="1087" t="s">
        <v>1041</v>
      </c>
      <c r="Q59" s="1095"/>
      <c r="R59" s="1095"/>
      <c r="S59" s="1095"/>
      <c r="T59" s="1095"/>
      <c r="U59" s="1095"/>
      <c r="V59" s="1095"/>
      <c r="W59" s="1095"/>
      <c r="X59" s="1095"/>
      <c r="Y59" s="1095"/>
      <c r="Z59" s="1095"/>
      <c r="AA59" s="1095"/>
      <c r="AB59" s="1095"/>
      <c r="AC59" s="1095"/>
      <c r="AD59" s="1095"/>
      <c r="AE59" s="1102"/>
      <c r="AF59" s="2638"/>
      <c r="AG59" s="2639"/>
      <c r="AH59" s="2639"/>
      <c r="AI59" s="2638"/>
      <c r="AJ59" s="2639"/>
      <c r="AK59" s="2639"/>
      <c r="AL59" s="1901"/>
      <c r="AM59" s="1739"/>
      <c r="AN59" s="1739"/>
      <c r="AO59" s="1739"/>
      <c r="AP59" s="1739"/>
      <c r="AQ59" s="1739"/>
      <c r="AR59" s="1739"/>
      <c r="AS59" s="1739"/>
      <c r="AT59" s="1739"/>
      <c r="AU59" s="1739"/>
      <c r="AV59" s="1739"/>
      <c r="AW59" s="1739"/>
      <c r="AX59" s="1739"/>
      <c r="AY59" s="1739"/>
      <c r="AZ59" s="1739"/>
      <c r="BA59" s="1739"/>
      <c r="BB59" s="1739"/>
      <c r="BC59" s="1739"/>
      <c r="BD59" s="1739"/>
      <c r="BE59" s="1739"/>
      <c r="BF59" s="1739"/>
      <c r="BG59" s="2006"/>
    </row>
    <row r="60" spans="1:59" ht="12" customHeight="1">
      <c r="A60" s="1085" t="s">
        <v>1000</v>
      </c>
      <c r="B60" s="1085"/>
      <c r="C60" s="1085"/>
      <c r="D60" s="1079"/>
      <c r="E60" s="1089"/>
      <c r="F60" s="2626"/>
      <c r="G60" s="1109"/>
      <c r="H60" s="1109"/>
      <c r="I60" s="2623" t="s">
        <v>1042</v>
      </c>
      <c r="J60" s="2623"/>
      <c r="K60" s="2623"/>
      <c r="L60" s="1092"/>
      <c r="M60" s="1092"/>
      <c r="N60" s="1093"/>
      <c r="O60" s="1093"/>
      <c r="P60" s="1093"/>
      <c r="Q60" s="1093"/>
      <c r="R60" s="1093"/>
      <c r="S60" s="1093"/>
      <c r="T60" s="1093"/>
      <c r="U60" s="1093"/>
      <c r="V60" s="1093"/>
      <c r="W60" s="1093"/>
      <c r="X60" s="1093"/>
      <c r="Y60" s="1093"/>
      <c r="Z60" s="1093"/>
      <c r="AA60" s="1093"/>
      <c r="AB60" s="1093"/>
      <c r="AC60" s="1093"/>
      <c r="AD60" s="1093"/>
      <c r="AE60" s="1093"/>
      <c r="AF60" s="1093"/>
      <c r="AG60" s="1092"/>
      <c r="AH60" s="1092"/>
      <c r="AI60" s="1093"/>
      <c r="AJ60" s="1092"/>
      <c r="AK60" s="1093"/>
      <c r="AL60" s="1901"/>
      <c r="AM60" s="1739"/>
      <c r="AN60" s="1739"/>
      <c r="AO60" s="1739"/>
      <c r="AP60" s="1739"/>
      <c r="AQ60" s="1739"/>
      <c r="AR60" s="1739"/>
      <c r="AS60" s="1739"/>
      <c r="AT60" s="1739"/>
      <c r="AU60" s="1739"/>
      <c r="AV60" s="1739"/>
      <c r="AW60" s="1739"/>
      <c r="AX60" s="1739"/>
      <c r="AY60" s="1739"/>
      <c r="AZ60" s="1739"/>
      <c r="BA60" s="1739"/>
      <c r="BB60" s="1739"/>
      <c r="BC60" s="1739"/>
      <c r="BD60" s="1739"/>
      <c r="BE60" s="1739"/>
      <c r="BF60" s="1739"/>
      <c r="BG60" s="2006"/>
    </row>
    <row r="61" spans="1:59" ht="0.75" customHeight="1">
      <c r="A61" s="1085" t="s">
        <v>1000</v>
      </c>
      <c r="B61" s="1085"/>
      <c r="C61" s="1085"/>
      <c r="D61" s="1079"/>
      <c r="E61" s="1089"/>
      <c r="F61" s="2624">
        <v>2024</v>
      </c>
      <c r="G61" s="2633"/>
      <c r="H61" s="2629" t="s">
        <v>374</v>
      </c>
      <c r="I61" s="2630"/>
      <c r="J61" s="2628"/>
      <c r="K61" s="2628"/>
      <c r="L61" s="2622"/>
      <c r="M61" s="2489"/>
      <c r="N61" s="1949"/>
      <c r="O61" s="1948"/>
      <c r="P61" s="1949"/>
      <c r="Q61" s="1949"/>
      <c r="R61" s="1949"/>
      <c r="S61" s="1949"/>
      <c r="T61" s="1949"/>
      <c r="U61" s="1949"/>
      <c r="V61" s="1949"/>
      <c r="W61" s="1949"/>
      <c r="X61" s="1949"/>
      <c r="Y61" s="1949"/>
      <c r="Z61" s="1949"/>
      <c r="AA61" s="1949"/>
      <c r="AB61" s="1949"/>
      <c r="AC61" s="1949"/>
      <c r="AD61" s="1949"/>
      <c r="AE61" s="1949"/>
      <c r="AF61" s="2627"/>
      <c r="AG61" s="2622"/>
      <c r="AH61" s="2622"/>
      <c r="AI61" s="2627"/>
      <c r="AJ61" s="2622"/>
      <c r="AK61" s="2622"/>
      <c r="AL61" s="1901"/>
      <c r="AM61" s="1739"/>
      <c r="AN61" s="1739"/>
      <c r="AO61" s="1739"/>
      <c r="AP61" s="1739"/>
      <c r="AQ61" s="1739"/>
      <c r="AR61" s="1739"/>
      <c r="AS61" s="1739"/>
      <c r="AT61" s="1739"/>
      <c r="AU61" s="1739"/>
      <c r="AV61" s="1739"/>
      <c r="AW61" s="1739"/>
      <c r="AX61" s="1739"/>
      <c r="AY61" s="1739"/>
      <c r="AZ61" s="1739"/>
      <c r="BA61" s="1739"/>
      <c r="BB61" s="1739"/>
      <c r="BC61" s="1739"/>
      <c r="BD61" s="1739"/>
      <c r="BE61" s="1739"/>
      <c r="BF61" s="1739"/>
      <c r="BG61" s="2006"/>
    </row>
    <row r="62" spans="1:59" ht="0.75" customHeight="1">
      <c r="A62" s="1085" t="s">
        <v>1000</v>
      </c>
      <c r="B62" s="1085"/>
      <c r="C62" s="1085"/>
      <c r="D62" s="1079"/>
      <c r="E62" s="1089"/>
      <c r="F62" s="2624"/>
      <c r="G62" s="2633"/>
      <c r="H62" s="2629"/>
      <c r="I62" s="2630"/>
      <c r="J62" s="2628"/>
      <c r="K62" s="2628"/>
      <c r="L62" s="2622"/>
      <c r="M62" s="2489"/>
      <c r="N62" s="2631"/>
      <c r="O62" s="2632"/>
      <c r="P62" s="2634"/>
      <c r="Q62" s="2628"/>
      <c r="R62" s="2628"/>
      <c r="S62" s="2628"/>
      <c r="T62" s="2628"/>
      <c r="U62" s="2628"/>
      <c r="V62" s="2628"/>
      <c r="W62" s="2628"/>
      <c r="X62" s="2628"/>
      <c r="Y62" s="2628"/>
      <c r="Z62" s="1950"/>
      <c r="AA62" s="1951"/>
      <c r="AB62" s="1951"/>
      <c r="AC62" s="1952"/>
      <c r="AD62" s="1952"/>
      <c r="AE62" s="1953"/>
      <c r="AF62" s="2627"/>
      <c r="AG62" s="2622"/>
      <c r="AH62" s="2622"/>
      <c r="AI62" s="2627"/>
      <c r="AJ62" s="2622"/>
      <c r="AK62" s="2622"/>
      <c r="AL62" s="1901"/>
      <c r="AM62" s="1739"/>
      <c r="AN62" s="1739"/>
      <c r="AO62" s="1739"/>
      <c r="AP62" s="1739"/>
      <c r="AQ62" s="1739"/>
      <c r="AR62" s="1739"/>
      <c r="AS62" s="1739"/>
      <c r="AT62" s="1739"/>
      <c r="AU62" s="1739"/>
      <c r="AV62" s="1739"/>
      <c r="AW62" s="1739"/>
      <c r="AX62" s="1739"/>
      <c r="AY62" s="1739"/>
      <c r="AZ62" s="1739"/>
      <c r="BA62" s="1739"/>
      <c r="BB62" s="1739"/>
      <c r="BC62" s="1739"/>
      <c r="BD62" s="1739"/>
      <c r="BE62" s="1739"/>
      <c r="BF62" s="1739"/>
      <c r="BG62" s="2006"/>
    </row>
    <row r="63" spans="1:59" ht="0.75" customHeight="1">
      <c r="A63" s="1085" t="s">
        <v>1000</v>
      </c>
      <c r="B63" s="1085"/>
      <c r="C63" s="1085"/>
      <c r="D63" s="1079"/>
      <c r="E63" s="1089"/>
      <c r="F63" s="2624"/>
      <c r="G63" s="2633"/>
      <c r="H63" s="2629"/>
      <c r="I63" s="2630"/>
      <c r="J63" s="2628"/>
      <c r="K63" s="2628"/>
      <c r="L63" s="2622"/>
      <c r="M63" s="2489"/>
      <c r="N63" s="2631"/>
      <c r="O63" s="2632"/>
      <c r="P63" s="2635"/>
      <c r="Q63" s="2628"/>
      <c r="R63" s="2628"/>
      <c r="S63" s="2628"/>
      <c r="T63" s="2628"/>
      <c r="U63" s="2628"/>
      <c r="V63" s="2628"/>
      <c r="W63" s="2628"/>
      <c r="X63" s="2628"/>
      <c r="Y63" s="2628"/>
      <c r="Z63" s="1954"/>
      <c r="AA63" s="1955"/>
      <c r="AB63" s="1956"/>
      <c r="AC63" s="1957"/>
      <c r="AD63" s="1956"/>
      <c r="AE63" s="1957"/>
      <c r="AF63" s="2627"/>
      <c r="AG63" s="2622"/>
      <c r="AH63" s="2622"/>
      <c r="AI63" s="2627"/>
      <c r="AJ63" s="2622"/>
      <c r="AK63" s="2622"/>
      <c r="AL63" s="1901"/>
      <c r="AM63" s="1739"/>
      <c r="AN63" s="1739"/>
      <c r="AO63" s="1739"/>
      <c r="AP63" s="1739"/>
      <c r="AQ63" s="1739"/>
      <c r="AR63" s="1739"/>
      <c r="AS63" s="1739"/>
      <c r="AT63" s="1739"/>
      <c r="AU63" s="1739"/>
      <c r="AV63" s="1739"/>
      <c r="AW63" s="1739"/>
      <c r="AX63" s="1739"/>
      <c r="AY63" s="1739"/>
      <c r="AZ63" s="1739"/>
      <c r="BA63" s="1739"/>
      <c r="BB63" s="1739"/>
      <c r="BC63" s="1739"/>
      <c r="BD63" s="1739"/>
      <c r="BE63" s="1739"/>
      <c r="BF63" s="1739"/>
      <c r="BG63" s="2006"/>
    </row>
    <row r="64" spans="1:59" ht="0.75" customHeight="1">
      <c r="A64" s="1085" t="s">
        <v>1000</v>
      </c>
      <c r="B64" s="1085"/>
      <c r="C64" s="1085"/>
      <c r="D64" s="1079"/>
      <c r="E64" s="1089"/>
      <c r="F64" s="2624"/>
      <c r="G64" s="2633"/>
      <c r="H64" s="2629"/>
      <c r="I64" s="2630"/>
      <c r="J64" s="2628"/>
      <c r="K64" s="2628"/>
      <c r="L64" s="2622"/>
      <c r="M64" s="2489"/>
      <c r="N64" s="2631"/>
      <c r="O64" s="2632"/>
      <c r="P64" s="2636"/>
      <c r="Q64" s="2628"/>
      <c r="R64" s="2628"/>
      <c r="S64" s="2628"/>
      <c r="T64" s="2628"/>
      <c r="U64" s="2628"/>
      <c r="V64" s="2628"/>
      <c r="W64" s="2628"/>
      <c r="X64" s="2628"/>
      <c r="Y64" s="2628"/>
      <c r="Z64" s="1950"/>
      <c r="AA64" s="1951"/>
      <c r="AB64" s="1958"/>
      <c r="AC64" s="1952"/>
      <c r="AD64" s="1952"/>
      <c r="AE64" s="1959"/>
      <c r="AF64" s="2627"/>
      <c r="AG64" s="2622"/>
      <c r="AH64" s="2622"/>
      <c r="AI64" s="2627"/>
      <c r="AJ64" s="2622"/>
      <c r="AK64" s="2622"/>
      <c r="AL64" s="1901"/>
      <c r="AM64" s="1739"/>
      <c r="AN64" s="1739"/>
      <c r="AO64" s="1739"/>
      <c r="AP64" s="1739"/>
      <c r="AQ64" s="1739"/>
      <c r="AR64" s="1739"/>
      <c r="AS64" s="1739"/>
      <c r="AT64" s="1739"/>
      <c r="AU64" s="1739"/>
      <c r="AV64" s="1739"/>
      <c r="AW64" s="1739"/>
      <c r="AX64" s="1739"/>
      <c r="AY64" s="1739"/>
      <c r="AZ64" s="1739"/>
      <c r="BA64" s="1739"/>
      <c r="BB64" s="1739"/>
      <c r="BC64" s="1739"/>
      <c r="BD64" s="1739"/>
      <c r="BE64" s="1739"/>
      <c r="BF64" s="1739"/>
      <c r="BG64" s="2006"/>
    </row>
    <row r="65" spans="1:59" ht="0.75" customHeight="1">
      <c r="A65" s="1085" t="s">
        <v>1000</v>
      </c>
      <c r="B65" s="1085"/>
      <c r="C65" s="1085"/>
      <c r="D65" s="1079"/>
      <c r="E65" s="1089"/>
      <c r="F65" s="2624"/>
      <c r="G65" s="2633"/>
      <c r="H65" s="2629"/>
      <c r="I65" s="2630"/>
      <c r="J65" s="2628"/>
      <c r="K65" s="2628"/>
      <c r="L65" s="2622"/>
      <c r="M65" s="2489"/>
      <c r="N65" s="1951"/>
      <c r="O65" s="1951"/>
      <c r="P65" s="1958"/>
      <c r="Q65" s="1951"/>
      <c r="R65" s="1951"/>
      <c r="S65" s="1951"/>
      <c r="T65" s="1951"/>
      <c r="U65" s="1951"/>
      <c r="V65" s="1951"/>
      <c r="W65" s="1951"/>
      <c r="X65" s="1951"/>
      <c r="Y65" s="1951"/>
      <c r="Z65" s="1951"/>
      <c r="AA65" s="1951"/>
      <c r="AB65" s="1951"/>
      <c r="AC65" s="1951"/>
      <c r="AD65" s="1951"/>
      <c r="AE65" s="1960"/>
      <c r="AF65" s="2627"/>
      <c r="AG65" s="2622"/>
      <c r="AH65" s="2622"/>
      <c r="AI65" s="2627"/>
      <c r="AJ65" s="2622"/>
      <c r="AK65" s="2622"/>
      <c r="AL65" s="1901"/>
      <c r="AM65" s="1739"/>
      <c r="AN65" s="1739"/>
      <c r="AO65" s="1739"/>
      <c r="AP65" s="1739"/>
      <c r="AQ65" s="1739"/>
      <c r="AR65" s="1739"/>
      <c r="AS65" s="1739"/>
      <c r="AT65" s="1739"/>
      <c r="AU65" s="1739"/>
      <c r="AV65" s="1739"/>
      <c r="AW65" s="1739"/>
      <c r="AX65" s="1739"/>
      <c r="AY65" s="1739"/>
      <c r="AZ65" s="1739"/>
      <c r="BA65" s="1739"/>
      <c r="BB65" s="1739"/>
      <c r="BC65" s="1739"/>
      <c r="BD65" s="1739"/>
      <c r="BE65" s="1739"/>
      <c r="BF65" s="1739"/>
      <c r="BG65" s="2006"/>
    </row>
    <row r="66" spans="1:59" ht="11.25" customHeight="1">
      <c r="A66" s="1085" t="s">
        <v>1000</v>
      </c>
      <c r="B66" s="1085" t="s">
        <v>1032</v>
      </c>
      <c r="C66" s="1085"/>
      <c r="D66" s="1079"/>
      <c r="E66" s="1089"/>
      <c r="F66" s="2625"/>
      <c r="G66" s="2615" t="s">
        <v>575</v>
      </c>
      <c r="H66" s="2633" t="s">
        <v>108</v>
      </c>
      <c r="I66" s="2646" t="s">
        <v>1033</v>
      </c>
      <c r="J66" s="2647" t="s">
        <v>1034</v>
      </c>
      <c r="K66" s="2648"/>
      <c r="L66" s="2344" t="s">
        <v>19</v>
      </c>
      <c r="M66" s="2345"/>
      <c r="N66" s="1899"/>
      <c r="O66" s="1096" t="s">
        <v>374</v>
      </c>
      <c r="P66" s="1097"/>
      <c r="Q66" s="1097"/>
      <c r="R66" s="1097"/>
      <c r="S66" s="1097"/>
      <c r="T66" s="1097"/>
      <c r="U66" s="1097"/>
      <c r="V66" s="1097"/>
      <c r="W66" s="1097"/>
      <c r="X66" s="1097"/>
      <c r="Y66" s="1097"/>
      <c r="Z66" s="1097"/>
      <c r="AA66" s="1097"/>
      <c r="AB66" s="1097"/>
      <c r="AC66" s="1097"/>
      <c r="AD66" s="1097"/>
      <c r="AE66" s="1097"/>
      <c r="AF66" s="2638">
        <v>2024</v>
      </c>
      <c r="AG66" s="2639" t="s">
        <v>1035</v>
      </c>
      <c r="AH66" s="2639" t="s">
        <v>1048</v>
      </c>
      <c r="AI66" s="2638">
        <v>2024</v>
      </c>
      <c r="AJ66" s="2639" t="s">
        <v>1035</v>
      </c>
      <c r="AK66" s="2639" t="s">
        <v>1048</v>
      </c>
      <c r="AL66" s="1901"/>
      <c r="AM66" s="1739"/>
      <c r="AN66" s="1739"/>
      <c r="AO66" s="1739"/>
      <c r="AP66" s="1739"/>
      <c r="AQ66" s="1739"/>
      <c r="AR66" s="1739"/>
      <c r="AS66" s="1739"/>
      <c r="AT66" s="1739"/>
      <c r="AU66" s="1739"/>
      <c r="AV66" s="1739"/>
      <c r="AW66" s="1739"/>
      <c r="AX66" s="1739"/>
      <c r="AY66" s="1739"/>
      <c r="AZ66" s="1739"/>
      <c r="BA66" s="1739"/>
      <c r="BB66" s="1739"/>
      <c r="BC66" s="1739"/>
      <c r="BD66" s="1739"/>
      <c r="BE66" s="1739"/>
      <c r="BF66" s="1739"/>
      <c r="BG66" s="2006"/>
    </row>
    <row r="67" spans="1:59" ht="11.25" customHeight="1">
      <c r="A67" s="1085" t="s">
        <v>1000</v>
      </c>
      <c r="B67" s="1085"/>
      <c r="C67" s="1085"/>
      <c r="D67" s="1079"/>
      <c r="E67" s="1089"/>
      <c r="F67" s="2625"/>
      <c r="G67" s="2637"/>
      <c r="H67" s="2633" t="s">
        <v>374</v>
      </c>
      <c r="I67" s="2646"/>
      <c r="J67" s="2647"/>
      <c r="K67" s="2648"/>
      <c r="L67" s="2344"/>
      <c r="M67" s="2345"/>
      <c r="N67" s="2640"/>
      <c r="O67" s="2641">
        <v>1</v>
      </c>
      <c r="P67" s="2642" t="s">
        <v>19</v>
      </c>
      <c r="Q67" s="2597" t="s">
        <v>22</v>
      </c>
      <c r="R67" s="2597" t="s">
        <v>22</v>
      </c>
      <c r="S67" s="2597" t="s">
        <v>22</v>
      </c>
      <c r="T67" s="2597" t="s">
        <v>22</v>
      </c>
      <c r="U67" s="2597" t="s">
        <v>22</v>
      </c>
      <c r="V67" s="2597" t="s">
        <v>22</v>
      </c>
      <c r="W67" s="2597" t="s">
        <v>22</v>
      </c>
      <c r="X67" s="2597" t="s">
        <v>22</v>
      </c>
      <c r="Y67" s="2597"/>
      <c r="Z67" s="1094"/>
      <c r="AA67" s="1095"/>
      <c r="AB67" s="1095"/>
      <c r="AC67" s="1099"/>
      <c r="AD67" s="1099"/>
      <c r="AE67" s="1100"/>
      <c r="AF67" s="2638"/>
      <c r="AG67" s="2639"/>
      <c r="AH67" s="2639"/>
      <c r="AI67" s="2638"/>
      <c r="AJ67" s="2639"/>
      <c r="AK67" s="2639"/>
      <c r="AL67" s="1901"/>
      <c r="AM67" s="1739"/>
      <c r="AN67" s="1739"/>
      <c r="AO67" s="1739"/>
      <c r="AP67" s="1739"/>
      <c r="AQ67" s="1739"/>
      <c r="AR67" s="1739"/>
      <c r="AS67" s="1739"/>
      <c r="AT67" s="1739"/>
      <c r="AU67" s="1739"/>
      <c r="AV67" s="1739"/>
      <c r="AW67" s="1739"/>
      <c r="AX67" s="1739"/>
      <c r="AY67" s="1739"/>
      <c r="AZ67" s="1739"/>
      <c r="BA67" s="1739"/>
      <c r="BB67" s="1739"/>
      <c r="BC67" s="1739"/>
      <c r="BD67" s="1739"/>
      <c r="BE67" s="1739"/>
      <c r="BF67" s="1739"/>
      <c r="BG67" s="2006"/>
    </row>
    <row r="68" spans="1:59" ht="33.75" customHeight="1">
      <c r="A68" s="1085" t="s">
        <v>1000</v>
      </c>
      <c r="B68" s="1085"/>
      <c r="C68" s="1085"/>
      <c r="D68" s="1079"/>
      <c r="E68" s="1089"/>
      <c r="F68" s="2625"/>
      <c r="G68" s="2637"/>
      <c r="H68" s="2633" t="s">
        <v>374</v>
      </c>
      <c r="I68" s="2646"/>
      <c r="J68" s="2647"/>
      <c r="K68" s="2648"/>
      <c r="L68" s="2344"/>
      <c r="M68" s="2345"/>
      <c r="N68" s="2640"/>
      <c r="O68" s="2641"/>
      <c r="P68" s="2643"/>
      <c r="Q68" s="2597"/>
      <c r="R68" s="2597"/>
      <c r="S68" s="2645"/>
      <c r="T68" s="2597"/>
      <c r="U68" s="2597"/>
      <c r="V68" s="2597"/>
      <c r="W68" s="2597"/>
      <c r="X68" s="2597"/>
      <c r="Y68" s="2597"/>
      <c r="Z68" s="1744"/>
      <c r="AA68" s="1712">
        <v>1</v>
      </c>
      <c r="AB68" s="1098" t="s">
        <v>1038</v>
      </c>
      <c r="AC68" s="1088">
        <v>24465.21</v>
      </c>
      <c r="AD68" s="1098" t="str">
        <f>AB68</f>
        <v xml:space="preserve">     Прочие амортизационные отчисления</v>
      </c>
      <c r="AE68" s="1088">
        <v>0</v>
      </c>
      <c r="AF68" s="2638"/>
      <c r="AG68" s="2639"/>
      <c r="AH68" s="2639"/>
      <c r="AI68" s="2638"/>
      <c r="AJ68" s="2639"/>
      <c r="AK68" s="2639"/>
      <c r="AL68" s="1901"/>
      <c r="AM68" s="1739"/>
      <c r="AN68" s="1739"/>
      <c r="AO68" s="1739"/>
      <c r="AP68" s="1739"/>
      <c r="AQ68" s="1739"/>
      <c r="AR68" s="1739"/>
      <c r="AS68" s="1739"/>
      <c r="AT68" s="1739"/>
      <c r="AU68" s="1739"/>
      <c r="AV68" s="1739"/>
      <c r="AW68" s="1739"/>
      <c r="AX68" s="1739"/>
      <c r="AY68" s="1739"/>
      <c r="AZ68" s="1739"/>
      <c r="BA68" s="1739"/>
      <c r="BB68" s="1739"/>
      <c r="BC68" s="1739"/>
      <c r="BD68" s="1739"/>
      <c r="BE68" s="1739"/>
      <c r="BF68" s="1739"/>
      <c r="BG68" s="2006"/>
    </row>
    <row r="69" spans="1:59" ht="34.5" customHeight="1">
      <c r="A69" s="1085" t="s">
        <v>1000</v>
      </c>
      <c r="B69" s="1085"/>
      <c r="C69" s="1085"/>
      <c r="D69" s="1079"/>
      <c r="E69" s="1089"/>
      <c r="F69" s="2637"/>
      <c r="G69" s="2637"/>
      <c r="H69" s="2637"/>
      <c r="I69" s="2637"/>
      <c r="J69" s="2637"/>
      <c r="K69" s="2637"/>
      <c r="L69" s="2637"/>
      <c r="M69" s="2637"/>
      <c r="N69" s="2637"/>
      <c r="O69" s="2637"/>
      <c r="P69" s="2637"/>
      <c r="Q69" s="2637"/>
      <c r="R69" s="2637"/>
      <c r="S69" s="2637"/>
      <c r="T69" s="2637"/>
      <c r="U69" s="2637"/>
      <c r="V69" s="2637"/>
      <c r="W69" s="2637"/>
      <c r="X69" s="2637"/>
      <c r="Y69" s="2637"/>
      <c r="Z69" s="2004" t="s">
        <v>575</v>
      </c>
      <c r="AA69" s="1732" t="s">
        <v>109</v>
      </c>
      <c r="AB69" s="1098" t="s">
        <v>1039</v>
      </c>
      <c r="AC69" s="1088">
        <v>317578.5</v>
      </c>
      <c r="AD69" s="1098" t="str">
        <f>AB69</f>
        <v xml:space="preserve">  Средства, полученные за счет платы за подключение (технологическое присоединение)</v>
      </c>
      <c r="AE69" s="1088">
        <v>0</v>
      </c>
      <c r="AF69" s="2649"/>
      <c r="AG69" s="2650"/>
      <c r="AH69" s="2650"/>
      <c r="AI69" s="2649"/>
      <c r="AJ69" s="2650"/>
      <c r="AK69" s="2651"/>
      <c r="AL69" s="1901"/>
      <c r="AM69" s="1739"/>
      <c r="AN69" s="1739"/>
      <c r="AO69" s="1739"/>
      <c r="AP69" s="1739"/>
      <c r="AQ69" s="1739"/>
      <c r="AR69" s="1739"/>
      <c r="AS69" s="1739"/>
      <c r="AT69" s="1739"/>
      <c r="AU69" s="1739"/>
      <c r="AV69" s="1739"/>
      <c r="AW69" s="1739"/>
      <c r="AX69" s="1739"/>
      <c r="AY69" s="1739"/>
      <c r="AZ69" s="1739"/>
      <c r="BA69" s="1739"/>
      <c r="BB69" s="1739"/>
      <c r="BC69" s="1739"/>
      <c r="BD69" s="1739"/>
      <c r="BE69" s="1739"/>
      <c r="BF69" s="1739"/>
      <c r="BG69" s="2006"/>
    </row>
    <row r="70" spans="1:59" ht="11.25" customHeight="1">
      <c r="A70" s="1085" t="s">
        <v>1000</v>
      </c>
      <c r="B70" s="1085"/>
      <c r="C70" s="1085"/>
      <c r="D70" s="1079"/>
      <c r="E70" s="1089"/>
      <c r="F70" s="2625"/>
      <c r="G70" s="2637"/>
      <c r="H70" s="2633" t="s">
        <v>374</v>
      </c>
      <c r="I70" s="2646"/>
      <c r="J70" s="2647"/>
      <c r="K70" s="2648"/>
      <c r="L70" s="2344"/>
      <c r="M70" s="2345"/>
      <c r="N70" s="2640"/>
      <c r="O70" s="2641"/>
      <c r="P70" s="2644"/>
      <c r="Q70" s="2597"/>
      <c r="R70" s="2597"/>
      <c r="S70" s="2645"/>
      <c r="T70" s="2597"/>
      <c r="U70" s="2597"/>
      <c r="V70" s="2597"/>
      <c r="W70" s="2597"/>
      <c r="X70" s="2597"/>
      <c r="Y70" s="2597"/>
      <c r="Z70" s="1094"/>
      <c r="AA70" s="1095"/>
      <c r="AB70" s="1160" t="s">
        <v>1040</v>
      </c>
      <c r="AC70" s="1099"/>
      <c r="AD70" s="1099"/>
      <c r="AE70" s="1101"/>
      <c r="AF70" s="2638"/>
      <c r="AG70" s="2639"/>
      <c r="AH70" s="2639"/>
      <c r="AI70" s="2638"/>
      <c r="AJ70" s="2639"/>
      <c r="AK70" s="2639"/>
      <c r="AL70" s="1901"/>
      <c r="AM70" s="1739"/>
      <c r="AN70" s="1739"/>
      <c r="AO70" s="1739"/>
      <c r="AP70" s="1739"/>
      <c r="AQ70" s="1739"/>
      <c r="AR70" s="1739"/>
      <c r="AS70" s="1739"/>
      <c r="AT70" s="1739"/>
      <c r="AU70" s="1739"/>
      <c r="AV70" s="1739"/>
      <c r="AW70" s="1739"/>
      <c r="AX70" s="1739"/>
      <c r="AY70" s="1739"/>
      <c r="AZ70" s="1739"/>
      <c r="BA70" s="1739"/>
      <c r="BB70" s="1739"/>
      <c r="BC70" s="1739"/>
      <c r="BD70" s="1739"/>
      <c r="BE70" s="1739"/>
      <c r="BF70" s="1739"/>
      <c r="BG70" s="2006"/>
    </row>
    <row r="71" spans="1:59" ht="11.25" customHeight="1">
      <c r="A71" s="1085" t="s">
        <v>1000</v>
      </c>
      <c r="B71" s="1085"/>
      <c r="C71" s="1085"/>
      <c r="D71" s="1079"/>
      <c r="E71" s="1089"/>
      <c r="F71" s="2625"/>
      <c r="G71" s="2637"/>
      <c r="H71" s="2633" t="s">
        <v>374</v>
      </c>
      <c r="I71" s="2646"/>
      <c r="J71" s="2647"/>
      <c r="K71" s="2648"/>
      <c r="L71" s="2344"/>
      <c r="M71" s="2345"/>
      <c r="N71" s="1094"/>
      <c r="O71" s="1095"/>
      <c r="P71" s="1087" t="s">
        <v>1041</v>
      </c>
      <c r="Q71" s="1095"/>
      <c r="R71" s="1095"/>
      <c r="S71" s="1095"/>
      <c r="T71" s="1095"/>
      <c r="U71" s="1095"/>
      <c r="V71" s="1095"/>
      <c r="W71" s="1095"/>
      <c r="X71" s="1095"/>
      <c r="Y71" s="1095"/>
      <c r="Z71" s="1095"/>
      <c r="AA71" s="1095"/>
      <c r="AB71" s="1095"/>
      <c r="AC71" s="1095"/>
      <c r="AD71" s="1095"/>
      <c r="AE71" s="1102"/>
      <c r="AF71" s="2638"/>
      <c r="AG71" s="2639"/>
      <c r="AH71" s="2639"/>
      <c r="AI71" s="2638"/>
      <c r="AJ71" s="2639"/>
      <c r="AK71" s="2639"/>
      <c r="AL71" s="1901"/>
      <c r="AM71" s="1739"/>
      <c r="AN71" s="1739"/>
      <c r="AO71" s="1739"/>
      <c r="AP71" s="1739"/>
      <c r="AQ71" s="1739"/>
      <c r="AR71" s="1739"/>
      <c r="AS71" s="1739"/>
      <c r="AT71" s="1739"/>
      <c r="AU71" s="1739"/>
      <c r="AV71" s="1739"/>
      <c r="AW71" s="1739"/>
      <c r="AX71" s="1739"/>
      <c r="AY71" s="1739"/>
      <c r="AZ71" s="1739"/>
      <c r="BA71" s="1739"/>
      <c r="BB71" s="1739"/>
      <c r="BC71" s="1739"/>
      <c r="BD71" s="1739"/>
      <c r="BE71" s="1739"/>
      <c r="BF71" s="1739"/>
      <c r="BG71" s="2006"/>
    </row>
    <row r="72" spans="1:59" ht="12" customHeight="1">
      <c r="A72" s="1085" t="s">
        <v>1000</v>
      </c>
      <c r="B72" s="1085"/>
      <c r="C72" s="1085"/>
      <c r="D72" s="1079"/>
      <c r="E72" s="1089"/>
      <c r="F72" s="2626"/>
      <c r="G72" s="1109"/>
      <c r="H72" s="1109"/>
      <c r="I72" s="2623" t="s">
        <v>1042</v>
      </c>
      <c r="J72" s="2623"/>
      <c r="K72" s="2623"/>
      <c r="L72" s="1092"/>
      <c r="M72" s="1092"/>
      <c r="N72" s="1093"/>
      <c r="O72" s="1093"/>
      <c r="P72" s="1093"/>
      <c r="Q72" s="1093"/>
      <c r="R72" s="1093"/>
      <c r="S72" s="1093"/>
      <c r="T72" s="1093"/>
      <c r="U72" s="1093"/>
      <c r="V72" s="1093"/>
      <c r="W72" s="1093"/>
      <c r="X72" s="1093"/>
      <c r="Y72" s="1093"/>
      <c r="Z72" s="1093"/>
      <c r="AA72" s="1093"/>
      <c r="AB72" s="1093"/>
      <c r="AC72" s="1093"/>
      <c r="AD72" s="1093"/>
      <c r="AE72" s="1093"/>
      <c r="AF72" s="1093"/>
      <c r="AG72" s="1092"/>
      <c r="AH72" s="1092"/>
      <c r="AI72" s="1093"/>
      <c r="AJ72" s="1092"/>
      <c r="AK72" s="1093"/>
      <c r="AL72" s="1901"/>
      <c r="AM72" s="1739"/>
      <c r="AN72" s="1739"/>
      <c r="AO72" s="1739"/>
      <c r="AP72" s="1739"/>
      <c r="AQ72" s="1739"/>
      <c r="AR72" s="1739"/>
      <c r="AS72" s="1739"/>
      <c r="AT72" s="1739"/>
      <c r="AU72" s="1739"/>
      <c r="AV72" s="1739"/>
      <c r="AW72" s="1739"/>
      <c r="AX72" s="1739"/>
      <c r="AY72" s="1739"/>
      <c r="AZ72" s="1739"/>
      <c r="BA72" s="1739"/>
      <c r="BB72" s="1739"/>
      <c r="BC72" s="1739"/>
      <c r="BD72" s="1739"/>
      <c r="BE72" s="1739"/>
      <c r="BF72" s="1739"/>
      <c r="BG72" s="2006"/>
    </row>
    <row r="73" spans="1:59" ht="10.5" customHeight="1">
      <c r="E73" s="833"/>
      <c r="F73" s="844"/>
      <c r="G73" s="844"/>
      <c r="H73" s="1091"/>
      <c r="I73" s="844"/>
      <c r="J73" s="844"/>
      <c r="K73" s="844"/>
      <c r="L73" s="1051"/>
      <c r="M73" s="1051"/>
      <c r="N73" s="844"/>
      <c r="O73" s="844"/>
      <c r="P73" s="844"/>
      <c r="Q73" s="844"/>
      <c r="R73" s="844"/>
      <c r="S73" s="844"/>
      <c r="T73" s="844"/>
      <c r="U73" s="844"/>
      <c r="V73" s="844"/>
      <c r="W73" s="844"/>
      <c r="X73" s="844"/>
      <c r="Y73" s="844"/>
      <c r="Z73" s="844"/>
      <c r="AA73" s="844"/>
      <c r="AB73" s="844"/>
      <c r="AC73" s="844"/>
      <c r="AD73" s="1051"/>
      <c r="AE73" s="844"/>
      <c r="AF73" s="844"/>
      <c r="AG73" s="844"/>
      <c r="AH73" s="1069"/>
      <c r="AI73" s="1062"/>
      <c r="AJ73" s="844"/>
      <c r="AK73" s="844"/>
      <c r="AL73" s="833"/>
      <c r="AM73" s="833"/>
      <c r="AN73" s="833"/>
      <c r="AO73" s="833"/>
      <c r="AP73" s="833"/>
      <c r="AQ73" s="833"/>
      <c r="AR73" s="833"/>
      <c r="AS73" s="833"/>
      <c r="AT73" s="833"/>
      <c r="AU73" s="833"/>
      <c r="AV73" s="833"/>
      <c r="AW73" s="833"/>
      <c r="AX73" s="833"/>
      <c r="AY73" s="833"/>
      <c r="AZ73" s="833"/>
      <c r="BA73" s="833"/>
      <c r="BB73" s="833"/>
      <c r="BC73" s="833"/>
      <c r="BD73" s="833"/>
      <c r="BE73" s="833"/>
      <c r="BF73" s="833"/>
      <c r="BG73" s="693">
        <v>10</v>
      </c>
    </row>
    <row r="74" spans="1:59" ht="13.5" customHeight="1">
      <c r="E74" s="833"/>
      <c r="F74" s="840" t="s">
        <v>1049</v>
      </c>
      <c r="G74" s="840"/>
      <c r="H74" s="1090"/>
      <c r="I74" s="840"/>
      <c r="J74" s="840"/>
      <c r="K74" s="837"/>
      <c r="L74" s="1047"/>
      <c r="M74" s="1047"/>
      <c r="N74" s="839"/>
      <c r="O74" s="839"/>
      <c r="P74" s="839"/>
      <c r="Q74" s="839"/>
      <c r="R74" s="839"/>
      <c r="S74" s="839"/>
      <c r="T74" s="839"/>
      <c r="U74" s="839"/>
      <c r="V74" s="839"/>
      <c r="W74" s="839"/>
      <c r="X74" s="839"/>
      <c r="Y74" s="839"/>
      <c r="Z74" s="837"/>
      <c r="AA74" s="837"/>
      <c r="AB74" s="837"/>
      <c r="AC74" s="837"/>
      <c r="AD74" s="1047"/>
      <c r="AE74" s="837"/>
      <c r="AF74" s="837"/>
      <c r="AG74" s="837"/>
      <c r="AH74" s="1066"/>
      <c r="AI74" s="1059"/>
      <c r="AJ74" s="837"/>
      <c r="AK74" s="837"/>
      <c r="AL74" s="833"/>
      <c r="AM74" s="833"/>
      <c r="AN74" s="833"/>
      <c r="AO74" s="833"/>
      <c r="AP74" s="833"/>
      <c r="AQ74" s="833"/>
      <c r="AR74" s="833"/>
      <c r="AS74" s="833"/>
      <c r="AT74" s="833"/>
      <c r="AU74" s="833"/>
      <c r="AV74" s="833"/>
      <c r="AW74" s="833"/>
      <c r="AX74" s="833"/>
      <c r="AY74" s="833"/>
      <c r="AZ74" s="833"/>
      <c r="BA74" s="833"/>
      <c r="BB74" s="833"/>
      <c r="BC74" s="833"/>
      <c r="BD74" s="833"/>
      <c r="BE74" s="833"/>
      <c r="BF74" s="833"/>
      <c r="BG74" s="693">
        <v>13</v>
      </c>
    </row>
    <row r="75" spans="1:59" ht="10.5" customHeight="1">
      <c r="BG75" s="693">
        <v>10</v>
      </c>
    </row>
    <row r="76" spans="1:59" ht="10.5" customHeight="1">
      <c r="E76" s="833"/>
      <c r="F76" s="2617"/>
      <c r="G76" s="2617"/>
      <c r="H76" s="2617"/>
      <c r="I76" s="2617"/>
      <c r="J76" s="2617"/>
      <c r="K76" s="837"/>
      <c r="L76" s="1047"/>
      <c r="M76" s="1047"/>
      <c r="N76" s="839"/>
      <c r="O76" s="839"/>
      <c r="P76" s="839"/>
      <c r="Q76" s="839"/>
      <c r="R76" s="839"/>
      <c r="S76" s="839"/>
      <c r="T76" s="839"/>
      <c r="U76" s="839"/>
      <c r="V76" s="839"/>
      <c r="W76" s="839"/>
      <c r="X76" s="839"/>
      <c r="Y76" s="839"/>
      <c r="Z76" s="837"/>
      <c r="AA76" s="837"/>
      <c r="AB76" s="837"/>
      <c r="AC76" s="837"/>
      <c r="AD76" s="1047"/>
      <c r="AE76" s="837"/>
      <c r="AF76" s="837"/>
      <c r="AG76" s="837"/>
      <c r="AH76" s="1066"/>
      <c r="AI76" s="1059"/>
      <c r="AJ76" s="837"/>
      <c r="AK76" s="837"/>
      <c r="AL76" s="833"/>
      <c r="AM76" s="833"/>
      <c r="AN76" s="833"/>
      <c r="AO76" s="833"/>
      <c r="AP76" s="833"/>
      <c r="AQ76" s="833"/>
      <c r="AR76" s="833"/>
      <c r="AS76" s="833"/>
      <c r="AT76" s="833"/>
      <c r="AU76" s="833"/>
      <c r="AV76" s="833"/>
      <c r="AW76" s="833"/>
      <c r="AX76" s="833"/>
      <c r="AY76" s="833"/>
      <c r="AZ76" s="833"/>
      <c r="BA76" s="833"/>
      <c r="BB76" s="833"/>
      <c r="BC76" s="833"/>
      <c r="BD76" s="833"/>
      <c r="BE76" s="833"/>
      <c r="BF76" s="833"/>
      <c r="BG76" s="693">
        <v>10</v>
      </c>
    </row>
    <row r="77" spans="1:59" ht="10.5" customHeight="1">
      <c r="E77" s="833"/>
      <c r="F77" s="2617"/>
      <c r="G77" s="2617"/>
      <c r="H77" s="2617"/>
      <c r="I77" s="2617"/>
      <c r="J77" s="2617"/>
      <c r="K77" s="837"/>
      <c r="L77" s="1047"/>
      <c r="M77" s="1047"/>
      <c r="N77" s="839"/>
      <c r="O77" s="839"/>
      <c r="P77" s="839"/>
      <c r="Q77" s="839"/>
      <c r="R77" s="839"/>
      <c r="S77" s="839"/>
      <c r="T77" s="839"/>
      <c r="U77" s="839"/>
      <c r="V77" s="839"/>
      <c r="W77" s="839"/>
      <c r="X77" s="839"/>
      <c r="Y77" s="839"/>
      <c r="Z77" s="837"/>
      <c r="AA77" s="837"/>
      <c r="AB77" s="837"/>
      <c r="AC77" s="837"/>
      <c r="AD77" s="1047"/>
      <c r="AE77" s="837"/>
      <c r="AF77" s="837"/>
      <c r="AG77" s="837"/>
      <c r="AH77" s="1066"/>
      <c r="AI77" s="1059"/>
      <c r="AJ77" s="837"/>
      <c r="AK77" s="837"/>
      <c r="AL77" s="833"/>
      <c r="AM77" s="833"/>
      <c r="AN77" s="833"/>
      <c r="AO77" s="833"/>
      <c r="AP77" s="833"/>
      <c r="AQ77" s="833"/>
      <c r="AR77" s="833"/>
      <c r="AS77" s="833"/>
      <c r="AT77" s="833"/>
      <c r="AU77" s="833"/>
      <c r="AV77" s="833"/>
      <c r="AW77" s="833"/>
      <c r="AX77" s="833"/>
      <c r="AY77" s="833"/>
      <c r="AZ77" s="833"/>
      <c r="BA77" s="833"/>
      <c r="BB77" s="833"/>
      <c r="BC77" s="833"/>
      <c r="BD77" s="833"/>
      <c r="BE77" s="833"/>
      <c r="BF77" s="833"/>
      <c r="BG77" s="693">
        <v>10</v>
      </c>
    </row>
    <row r="78" spans="1:59" ht="10.5" customHeight="1">
      <c r="E78" s="833"/>
      <c r="F78" s="2617"/>
      <c r="G78" s="2617"/>
      <c r="H78" s="2617"/>
      <c r="I78" s="2617"/>
      <c r="J78" s="2617"/>
      <c r="K78" s="837"/>
      <c r="L78" s="1047"/>
      <c r="M78" s="1047"/>
      <c r="N78" s="839"/>
      <c r="O78" s="839"/>
      <c r="P78" s="839"/>
      <c r="Q78" s="839"/>
      <c r="R78" s="839"/>
      <c r="S78" s="839"/>
      <c r="T78" s="839"/>
      <c r="U78" s="839"/>
      <c r="V78" s="839"/>
      <c r="W78" s="839"/>
      <c r="X78" s="839"/>
      <c r="Y78" s="839"/>
      <c r="Z78" s="837"/>
      <c r="AA78" s="837"/>
      <c r="AB78" s="837"/>
      <c r="AC78" s="837"/>
      <c r="AD78" s="1047"/>
      <c r="AE78" s="837"/>
      <c r="AF78" s="837"/>
      <c r="AG78" s="837"/>
      <c r="AH78" s="1066"/>
      <c r="AI78" s="1059"/>
      <c r="AJ78" s="837"/>
      <c r="AK78" s="837"/>
      <c r="AL78" s="833"/>
      <c r="AM78" s="833"/>
      <c r="AN78" s="833"/>
      <c r="AO78" s="833"/>
      <c r="AP78" s="833"/>
      <c r="AQ78" s="833"/>
      <c r="AR78" s="833"/>
      <c r="AS78" s="833"/>
      <c r="AT78" s="833"/>
      <c r="AU78" s="833"/>
      <c r="AV78" s="833"/>
      <c r="AW78" s="833"/>
      <c r="AX78" s="833"/>
      <c r="AY78" s="833"/>
      <c r="AZ78" s="833"/>
      <c r="BA78" s="833"/>
      <c r="BB78" s="833"/>
      <c r="BC78" s="833"/>
      <c r="BD78" s="833"/>
      <c r="BE78" s="833"/>
      <c r="BF78" s="833"/>
      <c r="BG78" s="693">
        <v>10</v>
      </c>
    </row>
    <row r="79" spans="1:59" ht="10.5" hidden="1" customHeight="1">
      <c r="A79" s="821" t="s">
        <v>81</v>
      </c>
      <c r="B79" s="821">
        <v>0</v>
      </c>
      <c r="C79" s="821">
        <v>0</v>
      </c>
      <c r="D79" s="354">
        <v>0</v>
      </c>
      <c r="E79" s="446">
        <v>3</v>
      </c>
      <c r="F79" s="693">
        <v>14</v>
      </c>
      <c r="G79" s="693">
        <v>3</v>
      </c>
      <c r="H79" s="1074">
        <v>7</v>
      </c>
      <c r="I79" s="693">
        <v>16</v>
      </c>
      <c r="J79" s="693">
        <v>16</v>
      </c>
      <c r="K79" s="693">
        <v>25</v>
      </c>
      <c r="L79" s="1045">
        <v>7</v>
      </c>
      <c r="M79" s="1045">
        <v>15</v>
      </c>
      <c r="N79" s="693">
        <v>3</v>
      </c>
      <c r="O79" s="693">
        <v>4</v>
      </c>
      <c r="P79" s="693">
        <v>8</v>
      </c>
      <c r="Q79" s="693">
        <v>21</v>
      </c>
      <c r="R79" s="693">
        <v>14</v>
      </c>
      <c r="S79" s="693">
        <v>17</v>
      </c>
      <c r="T79" s="693">
        <v>17</v>
      </c>
      <c r="U79" s="693">
        <v>9</v>
      </c>
      <c r="V79" s="693">
        <v>12</v>
      </c>
      <c r="W79" s="693">
        <v>9</v>
      </c>
      <c r="X79" s="693">
        <v>21</v>
      </c>
      <c r="Y79" s="693">
        <v>12</v>
      </c>
      <c r="Z79" s="693">
        <v>3</v>
      </c>
      <c r="AA79" s="693">
        <v>6</v>
      </c>
      <c r="AB79" s="693">
        <v>38</v>
      </c>
      <c r="AC79" s="693">
        <v>15</v>
      </c>
      <c r="AD79" s="1045">
        <v>0</v>
      </c>
      <c r="AE79" s="693">
        <v>0</v>
      </c>
      <c r="AF79" s="693">
        <v>16</v>
      </c>
      <c r="AG79" s="693">
        <v>16</v>
      </c>
      <c r="AH79" s="1064">
        <v>16</v>
      </c>
      <c r="AI79" s="1057">
        <v>0</v>
      </c>
      <c r="AJ79" s="693">
        <v>0</v>
      </c>
      <c r="AK79" s="693">
        <v>0</v>
      </c>
      <c r="AL79" s="693">
        <v>8</v>
      </c>
      <c r="AM79" s="693">
        <v>8</v>
      </c>
      <c r="AN79" s="693">
        <v>8</v>
      </c>
      <c r="AO79" s="693">
        <v>8</v>
      </c>
      <c r="AP79" s="693">
        <v>8</v>
      </c>
      <c r="AQ79" s="693">
        <v>8</v>
      </c>
      <c r="AR79" s="693">
        <v>8</v>
      </c>
      <c r="AS79" s="693">
        <v>8</v>
      </c>
      <c r="AT79" s="693">
        <v>8</v>
      </c>
      <c r="AU79" s="693">
        <v>8</v>
      </c>
      <c r="AV79" s="693">
        <v>8</v>
      </c>
      <c r="AW79" s="693">
        <v>8</v>
      </c>
      <c r="AX79" s="693">
        <v>8</v>
      </c>
      <c r="AY79" s="693">
        <v>8</v>
      </c>
      <c r="AZ79" s="693">
        <v>8</v>
      </c>
      <c r="BA79" s="693">
        <v>8</v>
      </c>
      <c r="BB79" s="693">
        <v>8</v>
      </c>
      <c r="BC79" s="693">
        <v>8</v>
      </c>
      <c r="BD79" s="693">
        <v>8</v>
      </c>
      <c r="BE79" s="693">
        <v>8</v>
      </c>
      <c r="BF79" s="693">
        <v>8</v>
      </c>
      <c r="BG79" s="693">
        <v>10</v>
      </c>
    </row>
  </sheetData>
  <sheetProtection formatColumns="0" formatRows="0" insertRows="0" deleteColumns="0" deleteRows="0" sort="0" autoFilter="0"/>
  <mergeCells count="288">
    <mergeCell ref="G66:G71"/>
    <mergeCell ref="S67:S70"/>
    <mergeCell ref="T67:T70"/>
    <mergeCell ref="U67:U70"/>
    <mergeCell ref="V67:V70"/>
    <mergeCell ref="W67:W70"/>
    <mergeCell ref="X67:X70"/>
    <mergeCell ref="Y67:Y70"/>
    <mergeCell ref="H66:H71"/>
    <mergeCell ref="I66:I71"/>
    <mergeCell ref="J66:J71"/>
    <mergeCell ref="K66:K71"/>
    <mergeCell ref="L66:L71"/>
    <mergeCell ref="M66:M71"/>
    <mergeCell ref="L42:L47"/>
    <mergeCell ref="M42:M47"/>
    <mergeCell ref="G42:G47"/>
    <mergeCell ref="AF54:AF59"/>
    <mergeCell ref="AG54:AG59"/>
    <mergeCell ref="AH54:AH59"/>
    <mergeCell ref="AI54:AI59"/>
    <mergeCell ref="AJ54:AJ59"/>
    <mergeCell ref="AK54:AK59"/>
    <mergeCell ref="N55:N58"/>
    <mergeCell ref="O55:O58"/>
    <mergeCell ref="P55:P58"/>
    <mergeCell ref="Q55:Q58"/>
    <mergeCell ref="R55:R58"/>
    <mergeCell ref="S55:S58"/>
    <mergeCell ref="T55:T58"/>
    <mergeCell ref="U55:U58"/>
    <mergeCell ref="V55:V58"/>
    <mergeCell ref="W55:W58"/>
    <mergeCell ref="X55:X58"/>
    <mergeCell ref="Y55:Y58"/>
    <mergeCell ref="H54:H59"/>
    <mergeCell ref="I54:I59"/>
    <mergeCell ref="J54:J59"/>
    <mergeCell ref="M31:M35"/>
    <mergeCell ref="G31:G35"/>
    <mergeCell ref="AF42:AF47"/>
    <mergeCell ref="AG42:AG47"/>
    <mergeCell ref="AH42:AH47"/>
    <mergeCell ref="AI42:AI47"/>
    <mergeCell ref="AJ42:AJ47"/>
    <mergeCell ref="AK42:AK47"/>
    <mergeCell ref="N43:N46"/>
    <mergeCell ref="O43:O46"/>
    <mergeCell ref="P43:P46"/>
    <mergeCell ref="Q43:Q46"/>
    <mergeCell ref="R43:R46"/>
    <mergeCell ref="S43:S46"/>
    <mergeCell ref="T43:T46"/>
    <mergeCell ref="U43:U46"/>
    <mergeCell ref="V43:V46"/>
    <mergeCell ref="W43:W46"/>
    <mergeCell ref="X43:X46"/>
    <mergeCell ref="Y43:Y46"/>
    <mergeCell ref="H42:H47"/>
    <mergeCell ref="I42:I47"/>
    <mergeCell ref="J42:J47"/>
    <mergeCell ref="K42:K47"/>
    <mergeCell ref="G20:G24"/>
    <mergeCell ref="AF31:AF35"/>
    <mergeCell ref="AG31:AG35"/>
    <mergeCell ref="AH31:AH35"/>
    <mergeCell ref="AI31:AI35"/>
    <mergeCell ref="AJ31:AJ35"/>
    <mergeCell ref="AK31:AK35"/>
    <mergeCell ref="N32:N34"/>
    <mergeCell ref="O32:O34"/>
    <mergeCell ref="P32:P34"/>
    <mergeCell ref="Q32:Q34"/>
    <mergeCell ref="R32:R34"/>
    <mergeCell ref="S32:S34"/>
    <mergeCell ref="T32:T34"/>
    <mergeCell ref="U32:U34"/>
    <mergeCell ref="V32:V34"/>
    <mergeCell ref="W32:W34"/>
    <mergeCell ref="X32:X34"/>
    <mergeCell ref="Y32:Y34"/>
    <mergeCell ref="H31:H35"/>
    <mergeCell ref="I31:I35"/>
    <mergeCell ref="J31:J35"/>
    <mergeCell ref="K31:K35"/>
    <mergeCell ref="L31:L35"/>
    <mergeCell ref="V21:V23"/>
    <mergeCell ref="W21:W23"/>
    <mergeCell ref="X21:X23"/>
    <mergeCell ref="Y21:Y23"/>
    <mergeCell ref="H20:H24"/>
    <mergeCell ref="I20:I24"/>
    <mergeCell ref="J20:J24"/>
    <mergeCell ref="K20:K24"/>
    <mergeCell ref="L20:L24"/>
    <mergeCell ref="M20:M24"/>
    <mergeCell ref="F61:F72"/>
    <mergeCell ref="AF61:AF65"/>
    <mergeCell ref="AG61:AG65"/>
    <mergeCell ref="AH61:AH65"/>
    <mergeCell ref="AI61:AI65"/>
    <mergeCell ref="S62:S64"/>
    <mergeCell ref="T62:T64"/>
    <mergeCell ref="U62:U64"/>
    <mergeCell ref="V62:V64"/>
    <mergeCell ref="W62:W64"/>
    <mergeCell ref="X62:X64"/>
    <mergeCell ref="Y62:Y64"/>
    <mergeCell ref="H61:H65"/>
    <mergeCell ref="I61:I65"/>
    <mergeCell ref="J61:J65"/>
    <mergeCell ref="K61:K65"/>
    <mergeCell ref="L61:L65"/>
    <mergeCell ref="M61:M65"/>
    <mergeCell ref="N62:N64"/>
    <mergeCell ref="O62:O64"/>
    <mergeCell ref="G61:G65"/>
    <mergeCell ref="P62:P64"/>
    <mergeCell ref="Q62:Q64"/>
    <mergeCell ref="R62:R64"/>
    <mergeCell ref="N50:N52"/>
    <mergeCell ref="O50:O52"/>
    <mergeCell ref="G49:G53"/>
    <mergeCell ref="P50:P52"/>
    <mergeCell ref="Q50:Q52"/>
    <mergeCell ref="R50:R52"/>
    <mergeCell ref="AJ61:AJ65"/>
    <mergeCell ref="AK61:AK65"/>
    <mergeCell ref="I72:K72"/>
    <mergeCell ref="K54:K59"/>
    <mergeCell ref="L54:L59"/>
    <mergeCell ref="M54:M59"/>
    <mergeCell ref="G54:G59"/>
    <mergeCell ref="AF66:AF71"/>
    <mergeCell ref="AG66:AG71"/>
    <mergeCell ref="AH66:AH71"/>
    <mergeCell ref="AI66:AI71"/>
    <mergeCell ref="AJ66:AJ71"/>
    <mergeCell ref="AK66:AK71"/>
    <mergeCell ref="N67:N70"/>
    <mergeCell ref="O67:O70"/>
    <mergeCell ref="P67:P70"/>
    <mergeCell ref="Q67:Q70"/>
    <mergeCell ref="R67:R70"/>
    <mergeCell ref="P38:P40"/>
    <mergeCell ref="Q38:Q40"/>
    <mergeCell ref="R38:R40"/>
    <mergeCell ref="AJ49:AJ53"/>
    <mergeCell ref="AK49:AK53"/>
    <mergeCell ref="I60:K60"/>
    <mergeCell ref="F49:F60"/>
    <mergeCell ref="AF49:AF53"/>
    <mergeCell ref="AG49:AG53"/>
    <mergeCell ref="AH49:AH53"/>
    <mergeCell ref="AI49:AI53"/>
    <mergeCell ref="S50:S52"/>
    <mergeCell ref="T50:T52"/>
    <mergeCell ref="U50:U52"/>
    <mergeCell ref="V50:V52"/>
    <mergeCell ref="W50:W52"/>
    <mergeCell ref="X50:X52"/>
    <mergeCell ref="Y50:Y52"/>
    <mergeCell ref="H49:H53"/>
    <mergeCell ref="I49:I53"/>
    <mergeCell ref="J49:J53"/>
    <mergeCell ref="K49:K53"/>
    <mergeCell ref="L49:L53"/>
    <mergeCell ref="M49:M53"/>
    <mergeCell ref="AJ37:AJ41"/>
    <mergeCell ref="AK37:AK41"/>
    <mergeCell ref="I48:K48"/>
    <mergeCell ref="F37:F48"/>
    <mergeCell ref="AF37:AF41"/>
    <mergeCell ref="AG37:AG41"/>
    <mergeCell ref="AH37:AH41"/>
    <mergeCell ref="AI37:AI41"/>
    <mergeCell ref="S38:S40"/>
    <mergeCell ref="T38:T40"/>
    <mergeCell ref="U38:U40"/>
    <mergeCell ref="V38:V40"/>
    <mergeCell ref="W38:W40"/>
    <mergeCell ref="X38:X40"/>
    <mergeCell ref="Y38:Y40"/>
    <mergeCell ref="H37:H41"/>
    <mergeCell ref="I37:I41"/>
    <mergeCell ref="J37:J41"/>
    <mergeCell ref="K37:K41"/>
    <mergeCell ref="L37:L41"/>
    <mergeCell ref="M37:M41"/>
    <mergeCell ref="N38:N40"/>
    <mergeCell ref="O38:O40"/>
    <mergeCell ref="G37:G41"/>
    <mergeCell ref="I36:K36"/>
    <mergeCell ref="F26:F36"/>
    <mergeCell ref="AF26:AF30"/>
    <mergeCell ref="AG26:AG30"/>
    <mergeCell ref="AH26:AH30"/>
    <mergeCell ref="AI26:AI30"/>
    <mergeCell ref="S27:S29"/>
    <mergeCell ref="T27:T29"/>
    <mergeCell ref="U27:U29"/>
    <mergeCell ref="V27:V29"/>
    <mergeCell ref="W27:W29"/>
    <mergeCell ref="X27:X29"/>
    <mergeCell ref="Y27:Y29"/>
    <mergeCell ref="H26:H30"/>
    <mergeCell ref="I26:I30"/>
    <mergeCell ref="J26:J30"/>
    <mergeCell ref="K26:K30"/>
    <mergeCell ref="L26:L30"/>
    <mergeCell ref="M26:M30"/>
    <mergeCell ref="N27:N29"/>
    <mergeCell ref="O27:O29"/>
    <mergeCell ref="G26:G30"/>
    <mergeCell ref="P27:P29"/>
    <mergeCell ref="Q27:Q29"/>
    <mergeCell ref="M15:M19"/>
    <mergeCell ref="N16:N18"/>
    <mergeCell ref="O16:O18"/>
    <mergeCell ref="G15:G19"/>
    <mergeCell ref="P16:P18"/>
    <mergeCell ref="Q16:Q18"/>
    <mergeCell ref="R16:R18"/>
    <mergeCell ref="AJ26:AJ30"/>
    <mergeCell ref="AK26:AK30"/>
    <mergeCell ref="R27:R29"/>
    <mergeCell ref="AF20:AF24"/>
    <mergeCell ref="AG20:AG24"/>
    <mergeCell ref="AH20:AH24"/>
    <mergeCell ref="AI20:AI24"/>
    <mergeCell ref="AJ20:AJ24"/>
    <mergeCell ref="AK20:AK24"/>
    <mergeCell ref="N21:N23"/>
    <mergeCell ref="O21:O23"/>
    <mergeCell ref="P21:P23"/>
    <mergeCell ref="Q21:Q23"/>
    <mergeCell ref="R21:R23"/>
    <mergeCell ref="S21:S23"/>
    <mergeCell ref="T21:T23"/>
    <mergeCell ref="U21:U23"/>
    <mergeCell ref="K9:Y9"/>
    <mergeCell ref="N11:O12"/>
    <mergeCell ref="P11:P12"/>
    <mergeCell ref="Q11:Q12"/>
    <mergeCell ref="AJ15:AJ19"/>
    <mergeCell ref="AK15:AK19"/>
    <mergeCell ref="I25:K25"/>
    <mergeCell ref="F15:F25"/>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I9:J11"/>
    <mergeCell ref="K10:K12"/>
    <mergeCell ref="F77:J77"/>
    <mergeCell ref="F76:J76"/>
    <mergeCell ref="F5:K5"/>
    <mergeCell ref="F78:J78"/>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s>
  <dataValidations count="271">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textLength" operator="lessThanOrEqual" allowBlank="1" showInputMessage="1" showErrorMessage="1" errorTitle="Ошибка" error="Допускается ввод не более 900 символов!" sqref="K16">
      <formula1>900</formula1>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textLength" operator="lessThanOrEqual" allowBlank="1" showInputMessage="1" showErrorMessage="1" errorTitle="Ошибка" error="Допускается ввод не более 900 символов!" sqref="K17">
      <formula1>900</formula1>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textLength" operator="lessThanOrEqual" allowBlank="1" showInputMessage="1" showErrorMessage="1" errorTitle="Ошибка" error="Допускается ввод не более 900 символов!" sqref="K18">
      <formula1>900</formula1>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textLength" operator="lessThanOrEqual" allowBlank="1" showInputMessage="1" showErrorMessage="1" errorTitle="Ошибка" error="Допускается ввод не более 900 символов!" sqref="K26">
      <formula1>900</formula1>
    </dataValidation>
    <dataValidation type="textLength" operator="lessThanOrEqual" allowBlank="1" showInputMessage="1" showErrorMessage="1" errorTitle="Ошибка" error="Допускается ввод не более 900 символов!" sqref="M26">
      <formula1>900</formula1>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textLength" operator="lessThanOrEqual" allowBlank="1" showInputMessage="1" showErrorMessage="1" errorTitle="Ошибка" error="Допускается ввод не более 900 символов!" sqref="K27">
      <formula1>900</formula1>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textLength" operator="lessThanOrEqual" allowBlank="1" showInputMessage="1" showErrorMessage="1" errorTitle="Ошибка" error="Допускается ввод не более 900 символов!" sqref="K28">
      <formula1>900</formula1>
    </dataValidation>
    <dataValidation type="decimal" allowBlank="1" showErrorMessage="1" errorTitle="Ошибка" error="Допускается ввод только неотрицательных чисел!" sqref="AC28">
      <formula1>0</formula1>
      <formula2>9.99999999999999E+23</formula2>
    </dataValidation>
    <dataValidation type="decimal" allowBlank="1" showErrorMessage="1" errorTitle="Ошибка" error="Допускается ввод только неотрицательных чисел!" sqref="AE28">
      <formula1>0</formula1>
      <formula2>9.99999999999999E+23</formula2>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
      <formula1>"a"</formula1>
    </dataValidation>
    <dataValidation type="textLength" operator="lessThanOrEqual" allowBlank="1" showInputMessage="1" showErrorMessage="1" errorTitle="Ошибка" error="Допускается ввод не более 900 символов!" sqref="K29">
      <formula1>900</formula1>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
      <formula1>"a"</formula1>
    </dataValidation>
    <dataValidation type="textLength" operator="lessThanOrEqual" allowBlank="1" showInputMessage="1" showErrorMessage="1" errorTitle="Ошибка" error="Допускается ввод не более 900 символов!" sqref="K37">
      <formula1>900</formula1>
    </dataValidation>
    <dataValidation type="textLength" operator="lessThanOrEqual" allowBlank="1" showInputMessage="1" showErrorMessage="1" errorTitle="Ошибка" error="Допускается ввод не более 900 символов!" sqref="M37">
      <formula1>900</formula1>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textLength" operator="lessThanOrEqual" allowBlank="1" showInputMessage="1" showErrorMessage="1" errorTitle="Ошибка" error="Допускается ввод не более 900 символов!" sqref="K38">
      <formula1>900</formula1>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
      <formula1>"a"</formula1>
    </dataValidation>
    <dataValidation type="textLength" operator="lessThanOrEqual" allowBlank="1" showInputMessage="1" showErrorMessage="1" errorTitle="Ошибка" error="Допускается ввод не более 900 символов!" sqref="K39">
      <formula1>900</formula1>
    </dataValidation>
    <dataValidation type="decimal" allowBlank="1" showErrorMessage="1" errorTitle="Ошибка" error="Допускается ввод только неотрицательных чисел!" sqref="AC39">
      <formula1>0</formula1>
      <formula2>9.99999999999999E+23</formula2>
    </dataValidation>
    <dataValidation type="decimal" allowBlank="1" showErrorMessage="1" errorTitle="Ошибка" error="Допускается ввод только неотрицательных чисел!" sqref="AE39">
      <formula1>0</formula1>
      <formula2>9.99999999999999E+23</formula2>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
      <formula1>"a"</formula1>
    </dataValidation>
    <dataValidation type="textLength" operator="lessThanOrEqual" allowBlank="1" showInputMessage="1" showErrorMessage="1" errorTitle="Ошибка" error="Допускается ввод не более 900 символов!" sqref="K40">
      <formula1>900</formula1>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
      <formula1>"a"</formula1>
    </dataValidation>
    <dataValidation type="textLength" operator="lessThanOrEqual" allowBlank="1" showInputMessage="1" showErrorMessage="1" errorTitle="Ошибка" error="Допускается ввод не более 900 символов!" sqref="K49">
      <formula1>900</formula1>
    </dataValidation>
    <dataValidation type="textLength" operator="lessThanOrEqual" allowBlank="1" showInputMessage="1" showErrorMessage="1" errorTitle="Ошибка" error="Допускается ввод не более 900 символов!" sqref="M49">
      <formula1>900</formula1>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
      <formula1>"a"</formula1>
    </dataValidation>
    <dataValidation type="textLength" operator="lessThanOrEqual" allowBlank="1" showInputMessage="1" showErrorMessage="1" errorTitle="Ошибка" error="Допускается ввод не более 900 символов!" sqref="K50">
      <formula1>900</formula1>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textLength" operator="lessThanOrEqual" allowBlank="1" showInputMessage="1" showErrorMessage="1" errorTitle="Ошибка" error="Допускается ввод не более 900 символов!" sqref="K51">
      <formula1>900</formula1>
    </dataValidation>
    <dataValidation type="decimal" allowBlank="1" showErrorMessage="1" errorTitle="Ошибка" error="Допускается ввод только неотрицательных чисел!" sqref="AC51">
      <formula1>0</formula1>
      <formula2>9.99999999999999E+23</formula2>
    </dataValidation>
    <dataValidation type="decimal" allowBlank="1" showErrorMessage="1" errorTitle="Ошибка" error="Допускается ввод только неотрицательных чисел!" sqref="AE51">
      <formula1>0</formula1>
      <formula2>9.99999999999999E+23</formula2>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textLength" operator="lessThanOrEqual" allowBlank="1" showInputMessage="1" showErrorMessage="1" errorTitle="Ошибка" error="Допускается ввод не более 900 символов!" sqref="K52">
      <formula1>900</formula1>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
      <formula1>"a"</formula1>
    </dataValidation>
    <dataValidation type="textLength" operator="lessThanOrEqual" allowBlank="1" showInputMessage="1" showErrorMessage="1" errorTitle="Ошибка" error="Допускается ввод не более 900 символов!" sqref="K61">
      <formula1>900</formula1>
    </dataValidation>
    <dataValidation type="textLength" operator="lessThanOrEqual" allowBlank="1" showInputMessage="1" showErrorMessage="1" errorTitle="Ошибка" error="Допускается ввод не более 900 символов!" sqref="M61">
      <formula1>900</formula1>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
      <formula1>"a"</formula1>
    </dataValidation>
    <dataValidation type="textLength" operator="lessThanOrEqual" allowBlank="1" showInputMessage="1" showErrorMessage="1" errorTitle="Ошибка" error="Допускается ввод не более 900 символов!" sqref="K62">
      <formula1>900</formula1>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textLength" operator="lessThanOrEqual" allowBlank="1" showInputMessage="1" showErrorMessage="1" errorTitle="Ошибка" error="Допускается ввод не более 900 символов!" sqref="K63">
      <formula1>900</formula1>
    </dataValidation>
    <dataValidation type="decimal" allowBlank="1" showErrorMessage="1" errorTitle="Ошибка" error="Допускается ввод только неотрицательных чисел!" sqref="AC63">
      <formula1>0</formula1>
      <formula2>9.99999999999999E+23</formula2>
    </dataValidation>
    <dataValidation type="decimal" allowBlank="1" showErrorMessage="1" errorTitle="Ошибка" error="Допускается ввод только неотрицательных чисел!" sqref="AE63">
      <formula1>0</formula1>
      <formula2>9.99999999999999E+23</formula2>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textLength" operator="lessThanOrEqual" allowBlank="1" showInputMessage="1" showErrorMessage="1" errorTitle="Ошибка" error="Допускается ввод не более 900 символов!" sqref="K64">
      <formula1>900</formula1>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
      <formula1>"a"</formula1>
    </dataValidation>
    <dataValidation type="textLength" operator="lessThanOrEqual" allowBlank="1" showInputMessage="1" showErrorMessage="1" errorTitle="Ошибка" error="Допускается ввод не более 900 символов!" sqref="K20">
      <formula1>900</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textLength" operator="lessThanOrEqual" allowBlank="1" showInputMessage="1" showErrorMessage="1" errorTitle="Ошибка" error="Допускается ввод не более 900 символов!" sqref="K21">
      <formula1>900</formula1>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textLength" operator="lessThanOrEqual" allowBlank="1" showInputMessage="1" showErrorMessage="1" errorTitle="Ошибка" error="Допускается ввод не более 900 символов!" sqref="K22">
      <formula1>900</formula1>
    </dataValidation>
    <dataValidation type="decimal" allowBlank="1" showErrorMessage="1" errorTitle="Ошибка" error="Допускается ввод только неотрицательных чисел!" sqref="AC22">
      <formula1>0</formula1>
      <formula2>9.99999999999999E+23</formula2>
    </dataValidation>
    <dataValidation type="decimal" allowBlank="1" showErrorMessage="1" errorTitle="Ошибка" error="Допускается ввод только неотрицательных чисел!" sqref="AE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textLength" operator="lessThanOrEqual" allowBlank="1" showInputMessage="1" showErrorMessage="1" errorTitle="Ошибка" error="Допускается ввод не более 900 символов!" sqref="K23">
      <formula1>900</formula1>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
      <formula1>"a"</formula1>
    </dataValidation>
    <dataValidation type="textLength" operator="lessThanOrEqual" allowBlank="1" showInputMessage="1" showErrorMessage="1" errorTitle="Ошибка" error="Допускается ввод не более 900 символов!" sqref="K31">
      <formula1>900</formula1>
    </dataValidation>
    <dataValidation type="textLength" operator="lessThanOrEqual" allowBlank="1" showInputMessage="1" showErrorMessage="1" errorTitle="Ошибка" error="Допускается ввод не более 900 символов!" sqref="M31">
      <formula1>900</formula1>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textLength" operator="lessThanOrEqual" allowBlank="1" showInputMessage="1" showErrorMessage="1" errorTitle="Ошибка" error="Допускается ввод не более 900 символов!" sqref="K32">
      <formula1>900</formula1>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textLength" operator="lessThanOrEqual" allowBlank="1" showInputMessage="1" showErrorMessage="1" errorTitle="Ошибка" error="Допускается ввод не более 900 символов!" sqref="K33">
      <formula1>900</formula1>
    </dataValidation>
    <dataValidation type="decimal" allowBlank="1" showErrorMessage="1" errorTitle="Ошибка" error="Допускается ввод только неотрицательных чисел!" sqref="AC33">
      <formula1>0</formula1>
      <formula2>9.99999999999999E+23</formula2>
    </dataValidation>
    <dataValidation type="decimal" allowBlank="1" showErrorMessage="1" errorTitle="Ошибка" error="Допускается ввод только неотрицательных чисел!" sqref="AE33">
      <formula1>0</formula1>
      <formula2>9.99999999999999E+23</formula2>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
      <formula1>"a"</formula1>
    </dataValidation>
    <dataValidation type="textLength" operator="lessThanOrEqual" allowBlank="1" showInputMessage="1" showErrorMessage="1" errorTitle="Ошибка" error="Допускается ввод не более 900 символов!" sqref="K34">
      <formula1>900</formula1>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textLength" operator="lessThanOrEqual" allowBlank="1" showInputMessage="1" showErrorMessage="1" errorTitle="Ошибка" error="Допускается ввод не более 900 символов!" sqref="K42">
      <formula1>900</formula1>
    </dataValidation>
    <dataValidation type="textLength" operator="lessThanOrEqual" allowBlank="1" showInputMessage="1" showErrorMessage="1" errorTitle="Ошибка" error="Допускается ввод не более 900 символов!" sqref="M42">
      <formula1>900</formula1>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
      <formula1>"a"</formula1>
    </dataValidation>
    <dataValidation type="textLength" operator="lessThanOrEqual" allowBlank="1" showInputMessage="1" showErrorMessage="1" errorTitle="Ошибка" error="Допускается ввод не более 900 символов!" sqref="K43">
      <formula1>900</formula1>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
      <formula1>"a"</formula1>
    </dataValidation>
    <dataValidation type="textLength" operator="lessThanOrEqual" allowBlank="1" showInputMessage="1" showErrorMessage="1" errorTitle="Ошибка" error="Допускается ввод не более 900 символов!" sqref="K44">
      <formula1>900</formula1>
    </dataValidation>
    <dataValidation type="decimal" allowBlank="1" showErrorMessage="1" errorTitle="Ошибка" error="Допускается ввод только неотрицательных чисел!" sqref="AC44">
      <formula1>0</formula1>
      <formula2>9.99999999999999E+23</formula2>
    </dataValidation>
    <dataValidation type="decimal" allowBlank="1" showErrorMessage="1" errorTitle="Ошибка" error="Допускается ввод только неотрицательных чисел!" sqref="AE44">
      <formula1>0</formula1>
      <formula2>9.99999999999999E+23</formula2>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textLength" operator="lessThanOrEqual" allowBlank="1" showInputMessage="1" showErrorMessage="1" errorTitle="Ошибка" error="Допускается ввод не более 900 символов!" sqref="K46">
      <formula1>900</formula1>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
      <formula1>"a"</formula1>
    </dataValidation>
    <dataValidation type="textLength" operator="lessThanOrEqual" allowBlank="1" showInputMessage="1" showErrorMessage="1" errorTitle="Ошибка" error="Допускается ввод не более 900 символов!" sqref="K45">
      <formula1>900</formula1>
    </dataValidation>
    <dataValidation type="decimal" allowBlank="1" showErrorMessage="1" errorTitle="Ошибка" error="Допускается ввод только неотрицательных чисел!" sqref="AC45">
      <formula1>0</formula1>
      <formula2>9.99999999999999E+23</formula2>
    </dataValidation>
    <dataValidation type="decimal" allowBlank="1" showErrorMessage="1" errorTitle="Ошибка" error="Допускается ввод только неотрицательных чисел!" sqref="AE45">
      <formula1>0</formula1>
      <formula2>9.99999999999999E+23</formula2>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
      <formula1>"a"</formula1>
    </dataValidation>
    <dataValidation type="textLength" operator="lessThanOrEqual" allowBlank="1" showInputMessage="1" showErrorMessage="1" errorTitle="Ошибка" error="Допускается ввод не более 900 символов!" sqref="K54">
      <formula1>900</formula1>
    </dataValidation>
    <dataValidation type="textLength" operator="lessThanOrEqual" allowBlank="1" showInputMessage="1" showErrorMessage="1" errorTitle="Ошибка" error="Допускается ввод не более 900 символов!" sqref="M54">
      <formula1>900</formula1>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
      <formula1>"a"</formula1>
    </dataValidation>
    <dataValidation type="textLength" operator="lessThanOrEqual" allowBlank="1" showInputMessage="1" showErrorMessage="1" errorTitle="Ошибка" error="Допускается ввод не более 900 символов!" sqref="K55">
      <formula1>900</formula1>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textLength" operator="lessThanOrEqual" allowBlank="1" showInputMessage="1" showErrorMessage="1" errorTitle="Ошибка" error="Допускается ввод не более 900 символов!" sqref="K56">
      <formula1>900</formula1>
    </dataValidation>
    <dataValidation type="decimal" allowBlank="1" showErrorMessage="1" errorTitle="Ошибка" error="Допускается ввод только неотрицательных чисел!" sqref="AC56">
      <formula1>0</formula1>
      <formula2>9.99999999999999E+23</formula2>
    </dataValidation>
    <dataValidation type="decimal" allowBlank="1" showErrorMessage="1" errorTitle="Ошибка" error="Допускается ввод только неотрицательных чисел!" sqref="AE56">
      <formula1>0</formula1>
      <formula2>9.99999999999999E+23</formula2>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textLength" operator="lessThanOrEqual" allowBlank="1" showInputMessage="1" showErrorMessage="1" errorTitle="Ошибка" error="Допускается ввод не более 900 символов!" sqref="K58">
      <formula1>900</formula1>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textLength" operator="lessThanOrEqual" allowBlank="1" showInputMessage="1" showErrorMessage="1" errorTitle="Ошибка" error="Допускается ввод не более 900 символов!" sqref="K57">
      <formula1>900</formula1>
    </dataValidation>
    <dataValidation type="decimal" allowBlank="1" showErrorMessage="1" errorTitle="Ошибка" error="Допускается ввод только неотрицательных чисел!" sqref="AC57">
      <formula1>0</formula1>
      <formula2>9.99999999999999E+23</formula2>
    </dataValidation>
    <dataValidation type="decimal" allowBlank="1" showErrorMessage="1" errorTitle="Ошибка" error="Допускается ввод только неотрицательных чисел!" sqref="AE57">
      <formula1>0</formula1>
      <formula2>9.99999999999999E+23</formula2>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
      <formula1>"a"</formula1>
    </dataValidation>
    <dataValidation type="textLength" operator="lessThanOrEqual" allowBlank="1" showInputMessage="1" showErrorMessage="1" errorTitle="Ошибка" error="Допускается ввод не более 900 символов!" sqref="K66">
      <formula1>900</formula1>
    </dataValidation>
    <dataValidation type="textLength" operator="lessThanOrEqual" allowBlank="1" showInputMessage="1" showErrorMessage="1" errorTitle="Ошибка" error="Допускается ввод не более 900 символов!" sqref="M66">
      <formula1>900</formula1>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
      <formula1>"a"</formula1>
    </dataValidation>
    <dataValidation type="textLength" operator="lessThanOrEqual" allowBlank="1" showInputMessage="1" showErrorMessage="1" errorTitle="Ошибка" error="Допускается ввод не более 900 символов!" sqref="K67">
      <formula1>900</formula1>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
      <formula1>"a"</formula1>
    </dataValidation>
    <dataValidation type="textLength" operator="lessThanOrEqual" allowBlank="1" showInputMessage="1" showErrorMessage="1" errorTitle="Ошибка" error="Допускается ввод не более 900 символов!" sqref="K68">
      <formula1>900</formula1>
    </dataValidation>
    <dataValidation type="decimal" allowBlank="1" showErrorMessage="1" errorTitle="Ошибка" error="Допускается ввод только неотрицательных чисел!" sqref="AC68">
      <formula1>0</formula1>
      <formula2>9.99999999999999E+23</formula2>
    </dataValidation>
    <dataValidation type="decimal" allowBlank="1" showErrorMessage="1" errorTitle="Ошибка" error="Допускается ввод только неотрицательных чисел!" sqref="AE68">
      <formula1>0</formula1>
      <formula2>9.99999999999999E+23</formula2>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
      <formula1>"a"</formula1>
    </dataValidation>
    <dataValidation type="textLength" operator="lessThanOrEqual" allowBlank="1" showInputMessage="1" showErrorMessage="1" errorTitle="Ошибка" error="Допускается ввод не более 900 символов!" sqref="K70">
      <formula1>900</formula1>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textLength" operator="lessThanOrEqual" allowBlank="1" showInputMessage="1" showErrorMessage="1" errorTitle="Ошибка" error="Допускается ввод не более 900 символов!" sqref="K69">
      <formula1>900</formula1>
    </dataValidation>
    <dataValidation type="decimal" allowBlank="1" showErrorMessage="1" errorTitle="Ошибка" error="Допускается ввод только неотрицательных чисел!" sqref="AC69">
      <formula1>0</formula1>
      <formula2>9.99999999999999E+23</formula2>
    </dataValidation>
    <dataValidation type="decimal" allowBlank="1" showErrorMessage="1" errorTitle="Ошибка" error="Допускается ввод только неотрицательных чисел!" sqref="AE69">
      <formula1>0</formula1>
      <formula2>9.99999999999999E+23</formula2>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s>
  <pageMargins left="0.70866141732283472" right="0.70866141732283472" top="0.74803149606299213" bottom="0.74803149606299213" header="0.31496062992125984" footer="0.31496062992125984"/>
  <pageSetup paperSize="9" scale="50" fitToHeight="3" orientation="landscape" r:id="rId1"/>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59"/>
  <sheetViews>
    <sheetView showGridLines="0" topLeftCell="E4" zoomScale="85" workbookViewId="0">
      <selection activeCell="P1" sqref="P1:P59"/>
    </sheetView>
  </sheetViews>
  <sheetFormatPr defaultColWidth="9.140625" defaultRowHeight="10.5" customHeight="1"/>
  <cols>
    <col min="1" max="3" width="4.140625" style="2282" hidden="1" customWidth="1"/>
    <col min="4" max="4" width="4.140625" style="2244" hidden="1" customWidth="1"/>
    <col min="5" max="5" width="3" style="2238" customWidth="1"/>
    <col min="6" max="6" width="6" style="2238" customWidth="1"/>
    <col min="7" max="7" width="60" style="2238" customWidth="1"/>
    <col min="8" max="9" width="21.7109375" style="2238" hidden="1" customWidth="1"/>
    <col min="10" max="10" width="0.140625" style="2238" customWidth="1"/>
    <col min="11" max="16" width="21.7109375" style="2285" hidden="1" customWidth="1"/>
    <col min="17" max="17" width="0.140625" style="2285" customWidth="1"/>
    <col min="18" max="18" width="1" style="2238" customWidth="1"/>
    <col min="19" max="29" width="8" style="2238" customWidth="1"/>
    <col min="30" max="30" width="9.140625" style="2238" hidden="1"/>
  </cols>
  <sheetData>
    <row r="1" spans="1:30" s="2244" customFormat="1" ht="10.5" hidden="1" customHeight="1">
      <c r="A1" s="1085"/>
      <c r="B1" s="1085"/>
      <c r="C1" s="1085"/>
      <c r="E1" s="474"/>
      <c r="K1" s="2007"/>
      <c r="L1" s="2007"/>
      <c r="M1" s="2007"/>
      <c r="N1" s="2007"/>
      <c r="O1" s="2007"/>
      <c r="P1" s="2007"/>
      <c r="Q1" s="2007"/>
      <c r="AD1" s="1079" t="s">
        <v>14</v>
      </c>
    </row>
    <row r="2" spans="1:30" ht="10.5" hidden="1" customHeight="1">
      <c r="K2" s="2006"/>
      <c r="L2" s="2006"/>
      <c r="M2" s="2006"/>
      <c r="N2" s="2006"/>
      <c r="O2" s="2006"/>
      <c r="P2" s="2006"/>
      <c r="Q2" s="2006"/>
      <c r="AD2" s="1074">
        <v>0</v>
      </c>
    </row>
    <row r="3" spans="1:30" s="2236" customFormat="1" ht="10.5" hidden="1" customHeight="1">
      <c r="A3" s="1085"/>
      <c r="B3" s="1085"/>
      <c r="C3" s="1085"/>
      <c r="D3" s="1079"/>
      <c r="E3" s="299"/>
      <c r="K3" s="2008"/>
      <c r="L3" s="2008"/>
      <c r="M3" s="2008"/>
      <c r="N3" s="2008"/>
      <c r="O3" s="2008"/>
      <c r="P3" s="2008"/>
      <c r="Q3" s="2008"/>
      <c r="AD3" s="1075">
        <v>0</v>
      </c>
    </row>
    <row r="4" spans="1:30" ht="3" customHeight="1">
      <c r="K4" s="2006"/>
      <c r="L4" s="2006"/>
      <c r="M4" s="2006"/>
      <c r="N4" s="2006"/>
      <c r="O4" s="2006"/>
      <c r="P4" s="2006"/>
      <c r="Q4" s="2006"/>
      <c r="AD4" s="1074">
        <v>3</v>
      </c>
    </row>
    <row r="5" spans="1:30" ht="27.4" customHeight="1">
      <c r="F5" s="2467"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467"/>
      <c r="H5" s="2467"/>
      <c r="I5" s="2467"/>
      <c r="J5" s="2467"/>
      <c r="K5" s="2009"/>
      <c r="L5" s="2009"/>
      <c r="M5" s="2009"/>
      <c r="N5" s="2009"/>
      <c r="O5" s="2009"/>
      <c r="P5" s="2009"/>
      <c r="Q5" s="2009"/>
      <c r="AD5" s="1074">
        <v>26</v>
      </c>
    </row>
    <row r="6" spans="1:30" ht="10.5" customHeight="1">
      <c r="F6" s="2412" t="str">
        <f>IF(org=0,"Не определено",org)</f>
        <v>МУП "Водоканал"</v>
      </c>
      <c r="G6" s="2412"/>
      <c r="H6" s="2412"/>
      <c r="I6" s="2412"/>
      <c r="J6" s="2412"/>
      <c r="K6" s="2010"/>
      <c r="L6" s="2010"/>
      <c r="M6" s="2010"/>
      <c r="N6" s="2010"/>
      <c r="O6" s="2010"/>
      <c r="P6" s="2010"/>
      <c r="Q6" s="2010"/>
      <c r="AD6" s="1074">
        <v>10</v>
      </c>
    </row>
    <row r="7" spans="1:30" ht="11.45" customHeight="1">
      <c r="E7" s="1089"/>
      <c r="F7" s="1146"/>
      <c r="G7" s="1146"/>
      <c r="H7" s="1146"/>
      <c r="I7" s="1146"/>
      <c r="J7" s="1146"/>
      <c r="K7" s="2011" t="s">
        <v>22</v>
      </c>
      <c r="L7" s="2011"/>
      <c r="M7" s="2011" t="s">
        <v>22</v>
      </c>
      <c r="N7" s="2011" t="s">
        <v>22</v>
      </c>
      <c r="O7" s="2011" t="s">
        <v>22</v>
      </c>
      <c r="P7" s="2011" t="s">
        <v>22</v>
      </c>
      <c r="Q7" s="2011"/>
      <c r="R7" s="1076"/>
      <c r="S7" s="1076"/>
      <c r="T7" s="1076"/>
      <c r="U7" s="1076"/>
      <c r="V7" s="1076"/>
      <c r="W7" s="1076"/>
      <c r="X7" s="1076"/>
      <c r="Y7" s="1076"/>
      <c r="Z7" s="1076"/>
      <c r="AA7" s="1076"/>
      <c r="AB7" s="1076"/>
      <c r="AC7" s="1076"/>
      <c r="AD7" s="1074">
        <v>11</v>
      </c>
    </row>
    <row r="8" spans="1:30" s="2245" customFormat="1" ht="4.1500000000000004" customHeight="1">
      <c r="A8" s="1086"/>
      <c r="B8" s="1086"/>
      <c r="C8" s="1086"/>
      <c r="E8" s="1147"/>
      <c r="F8" s="1148"/>
      <c r="G8" s="1148"/>
      <c r="H8" s="1148"/>
      <c r="I8" s="1148"/>
      <c r="J8" s="1148"/>
      <c r="K8" s="2012" t="s">
        <v>1000</v>
      </c>
      <c r="L8" s="2012"/>
      <c r="M8" s="2012"/>
      <c r="N8" s="2012"/>
      <c r="O8" s="2012"/>
      <c r="P8" s="2012"/>
      <c r="Q8" s="2012"/>
      <c r="R8" s="1147"/>
      <c r="S8" s="1147"/>
      <c r="T8" s="1147"/>
      <c r="U8" s="1147"/>
      <c r="V8" s="1147"/>
      <c r="W8" s="1147"/>
      <c r="X8" s="1147"/>
      <c r="Y8" s="1147"/>
      <c r="Z8" s="1147"/>
      <c r="AA8" s="1147"/>
      <c r="AB8" s="1147"/>
      <c r="AC8" s="1147"/>
      <c r="AD8" s="448">
        <v>4</v>
      </c>
    </row>
    <row r="9" spans="1:30" ht="10.5" customHeight="1">
      <c r="E9" s="1089"/>
      <c r="F9" s="2652" t="s">
        <v>298</v>
      </c>
      <c r="G9" s="2653"/>
      <c r="H9" s="2653"/>
      <c r="I9" s="2653"/>
      <c r="J9" s="2653"/>
      <c r="K9" s="2013"/>
      <c r="L9" s="2013"/>
      <c r="M9" s="2013"/>
      <c r="N9" s="2013"/>
      <c r="O9" s="2013"/>
      <c r="P9" s="2013"/>
      <c r="Q9" s="2013"/>
      <c r="R9" s="1159"/>
      <c r="S9" s="1076"/>
      <c r="T9" s="1076"/>
      <c r="U9" s="1076"/>
      <c r="V9" s="1076"/>
      <c r="W9" s="1076"/>
      <c r="X9" s="1076"/>
      <c r="Y9" s="1076"/>
      <c r="Z9" s="1076"/>
      <c r="AA9" s="1076"/>
      <c r="AB9" s="1076"/>
      <c r="AC9" s="1076"/>
      <c r="AD9" s="1074">
        <v>10</v>
      </c>
    </row>
    <row r="10" spans="1:30" ht="25.15" customHeight="1">
      <c r="E10" s="1076"/>
      <c r="F10" s="2656" t="s">
        <v>87</v>
      </c>
      <c r="G10" s="2660" t="s">
        <v>1050</v>
      </c>
      <c r="H10" s="2595" t="s">
        <v>1051</v>
      </c>
      <c r="I10" s="2595"/>
      <c r="J10" s="2595"/>
      <c r="K10" s="2595" t="s">
        <v>1051</v>
      </c>
      <c r="L10" s="2595"/>
      <c r="M10" s="2595"/>
      <c r="N10" s="2595"/>
      <c r="O10" s="2595"/>
      <c r="P10" s="2595"/>
      <c r="Q10" s="2595"/>
      <c r="R10" s="1152"/>
      <c r="S10" s="1076"/>
      <c r="T10" s="1076"/>
      <c r="U10" s="1076"/>
      <c r="V10" s="1076"/>
      <c r="W10" s="1076"/>
      <c r="X10" s="1076"/>
      <c r="Y10" s="1076"/>
      <c r="Z10" s="1076"/>
      <c r="AA10" s="1076"/>
      <c r="AB10" s="1076"/>
      <c r="AC10" s="1076"/>
      <c r="AD10" s="1074">
        <v>24</v>
      </c>
    </row>
    <row r="11" spans="1:30" ht="25.5" customHeight="1">
      <c r="E11" s="1076"/>
      <c r="F11" s="2657"/>
      <c r="G11" s="2660"/>
      <c r="H11" s="2659" t="e">
        <f>INDEX(IP_MAIN_LIST_NAME_IP,MATCH(H8,IP_MAIN_LIST_IP_ID,0))&amp;" ("&amp;INDEX(IP_MAIN_START_DATE,MATCH(H8,IP_MAIN_LIST_IP_ID,0))&amp;"-"&amp;INDEX(IP_MAIN_END_DATE,MATCH(H8,IP_MAIN_LIST_IP_ID,0))&amp;")"</f>
        <v>#N/A</v>
      </c>
      <c r="I11" s="2659"/>
      <c r="J11" s="2659"/>
      <c r="K11" s="2659" t="str">
        <f>INDEX(IP_MAIN_LIST_NAME_IP,MATCH(K8,IP_MAIN_LIST_IP_ID,0))&amp;" ("&amp;INDEX(IP_MAIN_START_DATE,MATCH(K8,IP_MAIN_LIST_IP_ID,0))&amp;"-"&amp;INDEX(IP_MAIN_END_DATE,MATCH(K8,IP_MAIN_LIST_IP_ID,0))&amp;")"</f>
        <v>Инвестиционная программа от 25.07.2019 МУП "Водоканал" в сфере водоснабжения и водоотведения по комплексному развитию централизованных систем холодного водоснабжения и водоотведения, на территории городского округа г. Йошкар-Ола на 2020-2024 годы (01.01.2020-31.12.2024)</v>
      </c>
      <c r="L11" s="2659"/>
      <c r="M11" s="2659"/>
      <c r="N11" s="2659"/>
      <c r="O11" s="2659"/>
      <c r="P11" s="2659"/>
      <c r="Q11" s="2659"/>
      <c r="R11" s="1152"/>
      <c r="S11" s="1076"/>
      <c r="T11" s="1076"/>
      <c r="U11" s="1076"/>
      <c r="V11" s="1076"/>
      <c r="W11" s="1076"/>
      <c r="X11" s="1076"/>
      <c r="Y11" s="1076"/>
      <c r="Z11" s="1076"/>
      <c r="AA11" s="1076"/>
      <c r="AB11" s="1076"/>
      <c r="AC11" s="1076"/>
      <c r="AD11" s="1074">
        <v>24</v>
      </c>
    </row>
    <row r="12" spans="1:30" ht="10.5" customHeight="1">
      <c r="F12" s="2658"/>
      <c r="G12" s="2660"/>
      <c r="H12" s="1145" t="s">
        <v>1052</v>
      </c>
      <c r="I12" s="1151"/>
      <c r="J12" s="1145"/>
      <c r="K12" s="2015" t="s">
        <v>1052</v>
      </c>
      <c r="L12" s="2016">
        <v>2020</v>
      </c>
      <c r="M12" s="2016">
        <v>2021</v>
      </c>
      <c r="N12" s="2016">
        <v>2022</v>
      </c>
      <c r="O12" s="2016">
        <v>2023</v>
      </c>
      <c r="P12" s="2016">
        <v>2024</v>
      </c>
      <c r="Q12" s="2015"/>
      <c r="R12" s="1153"/>
      <c r="AD12" s="1074">
        <v>10</v>
      </c>
    </row>
    <row r="13" spans="1:30" ht="10.5" hidden="1" customHeight="1">
      <c r="F13" s="1145">
        <v>1</v>
      </c>
      <c r="G13" s="1145">
        <v>2</v>
      </c>
      <c r="H13" s="1145">
        <v>3</v>
      </c>
      <c r="I13" s="1145">
        <v>4</v>
      </c>
      <c r="J13" s="1145">
        <v>5</v>
      </c>
      <c r="K13" s="2015">
        <v>3</v>
      </c>
      <c r="L13" s="2015">
        <v>4</v>
      </c>
      <c r="M13" s="2015">
        <v>4</v>
      </c>
      <c r="N13" s="2015">
        <v>4</v>
      </c>
      <c r="O13" s="2015">
        <v>4</v>
      </c>
      <c r="P13" s="2015">
        <v>4</v>
      </c>
      <c r="Q13" s="2015">
        <v>5</v>
      </c>
      <c r="R13" s="1153"/>
      <c r="AD13" s="1074">
        <v>0</v>
      </c>
    </row>
    <row r="14" spans="1:30" ht="11.45" customHeight="1">
      <c r="F14" s="1144" t="s">
        <v>1053</v>
      </c>
      <c r="G14" s="2654" t="s">
        <v>1054</v>
      </c>
      <c r="H14" s="2654"/>
      <c r="I14" s="2654"/>
      <c r="J14" s="2654"/>
      <c r="K14" s="2017"/>
      <c r="L14" s="2017"/>
      <c r="M14" s="2017"/>
      <c r="N14" s="2017"/>
      <c r="O14" s="2017"/>
      <c r="P14" s="2017"/>
      <c r="Q14" s="2017"/>
      <c r="R14" s="1153"/>
      <c r="AD14" s="1074">
        <v>11</v>
      </c>
    </row>
    <row r="15" spans="1:30" ht="11.45" customHeight="1">
      <c r="F15" s="1149">
        <v>1</v>
      </c>
      <c r="G15" s="627" t="s">
        <v>1055</v>
      </c>
      <c r="H15" s="1155">
        <f t="shared" ref="H15:H36" si="0">SUM(I15:J15)</f>
        <v>0</v>
      </c>
      <c r="I15" s="1155">
        <f>SUM(I16:I27)</f>
        <v>0</v>
      </c>
      <c r="J15" s="1144"/>
      <c r="K15" s="2018">
        <f t="shared" ref="K15:K36" si="1">SUM(L15:Q15)</f>
        <v>0</v>
      </c>
      <c r="L15" s="2018">
        <f>SUM(L16:L27)</f>
        <v>0</v>
      </c>
      <c r="M15" s="2018">
        <f>SUM(M16:M27)</f>
        <v>0</v>
      </c>
      <c r="N15" s="2018">
        <f>SUM(N16:N27)</f>
        <v>0</v>
      </c>
      <c r="O15" s="2018">
        <f>SUM(O16:O27)</f>
        <v>0</v>
      </c>
      <c r="P15" s="2018">
        <f>SUM(P16:P27)</f>
        <v>0</v>
      </c>
      <c r="Q15" s="2014"/>
      <c r="R15" s="1153"/>
      <c r="AD15" s="1074">
        <v>11</v>
      </c>
    </row>
    <row r="16" spans="1:30" ht="24" customHeight="1">
      <c r="F16" s="1149" t="s">
        <v>1056</v>
      </c>
      <c r="G16" s="1156" t="s">
        <v>1057</v>
      </c>
      <c r="H16" s="1155">
        <f t="shared" si="0"/>
        <v>0</v>
      </c>
      <c r="I16" s="1154"/>
      <c r="J16" s="1144"/>
      <c r="K16" s="2018">
        <f t="shared" si="1"/>
        <v>0</v>
      </c>
      <c r="L16" s="2019"/>
      <c r="M16" s="2019"/>
      <c r="N16" s="2019"/>
      <c r="O16" s="2019"/>
      <c r="P16" s="2019"/>
      <c r="Q16" s="2014"/>
      <c r="R16" s="1153"/>
      <c r="AD16" s="1074">
        <v>23</v>
      </c>
    </row>
    <row r="17" spans="6:30" ht="24" customHeight="1">
      <c r="F17" s="1149" t="s">
        <v>1058</v>
      </c>
      <c r="G17" s="1156" t="s">
        <v>1059</v>
      </c>
      <c r="H17" s="1155">
        <f t="shared" si="0"/>
        <v>0</v>
      </c>
      <c r="I17" s="1154"/>
      <c r="J17" s="1144"/>
      <c r="K17" s="2018">
        <f t="shared" si="1"/>
        <v>0</v>
      </c>
      <c r="L17" s="2019"/>
      <c r="M17" s="2019"/>
      <c r="N17" s="2019"/>
      <c r="O17" s="2019"/>
      <c r="P17" s="2019"/>
      <c r="Q17" s="2014"/>
      <c r="R17" s="1153"/>
      <c r="AD17" s="1074">
        <v>23</v>
      </c>
    </row>
    <row r="18" spans="6:30" ht="35.65" customHeight="1">
      <c r="F18" s="1149" t="s">
        <v>1060</v>
      </c>
      <c r="G18" s="1156" t="s">
        <v>1061</v>
      </c>
      <c r="H18" s="1155">
        <f t="shared" si="0"/>
        <v>0</v>
      </c>
      <c r="I18" s="1154"/>
      <c r="J18" s="1144"/>
      <c r="K18" s="2018">
        <f t="shared" si="1"/>
        <v>0</v>
      </c>
      <c r="L18" s="2019"/>
      <c r="M18" s="2019"/>
      <c r="N18" s="2019"/>
      <c r="O18" s="2019"/>
      <c r="P18" s="2019"/>
      <c r="Q18" s="2014"/>
      <c r="R18" s="1153"/>
      <c r="AD18" s="1074">
        <v>34</v>
      </c>
    </row>
    <row r="19" spans="6:30" ht="35.65" customHeight="1">
      <c r="F19" s="1149" t="s">
        <v>1062</v>
      </c>
      <c r="G19" s="1156" t="s">
        <v>1063</v>
      </c>
      <c r="H19" s="1155">
        <f t="shared" si="0"/>
        <v>0</v>
      </c>
      <c r="I19" s="1154"/>
      <c r="J19" s="1144"/>
      <c r="K19" s="2018">
        <f t="shared" si="1"/>
        <v>0</v>
      </c>
      <c r="L19" s="2019"/>
      <c r="M19" s="2019"/>
      <c r="N19" s="2019"/>
      <c r="O19" s="2019"/>
      <c r="P19" s="2019"/>
      <c r="Q19" s="2014"/>
      <c r="R19" s="1153"/>
      <c r="AD19" s="1074">
        <v>34</v>
      </c>
    </row>
    <row r="20" spans="6:30" ht="48.2" customHeight="1">
      <c r="F20" s="1149" t="s">
        <v>1064</v>
      </c>
      <c r="G20" s="1156" t="s">
        <v>1065</v>
      </c>
      <c r="H20" s="1155">
        <f t="shared" si="0"/>
        <v>0</v>
      </c>
      <c r="I20" s="1154"/>
      <c r="J20" s="1144"/>
      <c r="K20" s="2018">
        <f t="shared" si="1"/>
        <v>0</v>
      </c>
      <c r="L20" s="2019"/>
      <c r="M20" s="2019"/>
      <c r="N20" s="2019"/>
      <c r="O20" s="2019"/>
      <c r="P20" s="2019"/>
      <c r="Q20" s="2014"/>
      <c r="R20" s="1153"/>
      <c r="AD20" s="1074">
        <v>46</v>
      </c>
    </row>
    <row r="21" spans="6:30" ht="35.65" customHeight="1">
      <c r="F21" s="1149" t="s">
        <v>1066</v>
      </c>
      <c r="G21" s="1156" t="s">
        <v>1067</v>
      </c>
      <c r="H21" s="1155">
        <f t="shared" si="0"/>
        <v>0</v>
      </c>
      <c r="I21" s="1154"/>
      <c r="J21" s="1144"/>
      <c r="K21" s="2018">
        <f t="shared" si="1"/>
        <v>0</v>
      </c>
      <c r="L21" s="2019"/>
      <c r="M21" s="2019"/>
      <c r="N21" s="2019"/>
      <c r="O21" s="2019"/>
      <c r="P21" s="2019"/>
      <c r="Q21" s="2014"/>
      <c r="R21" s="1153"/>
      <c r="AD21" s="1074">
        <v>34</v>
      </c>
    </row>
    <row r="22" spans="6:30" ht="35.65" customHeight="1">
      <c r="F22" s="1149" t="s">
        <v>1068</v>
      </c>
      <c r="G22" s="1156" t="s">
        <v>1069</v>
      </c>
      <c r="H22" s="1155">
        <f t="shared" si="0"/>
        <v>0</v>
      </c>
      <c r="I22" s="1154"/>
      <c r="J22" s="1144"/>
      <c r="K22" s="2018">
        <f t="shared" si="1"/>
        <v>0</v>
      </c>
      <c r="L22" s="2019"/>
      <c r="M22" s="2019"/>
      <c r="N22" s="2019"/>
      <c r="O22" s="2019"/>
      <c r="P22" s="2019"/>
      <c r="Q22" s="2014"/>
      <c r="R22" s="1153"/>
      <c r="AD22" s="1074">
        <v>34</v>
      </c>
    </row>
    <row r="23" spans="6:30" ht="24" customHeight="1">
      <c r="F23" s="1149" t="s">
        <v>1070</v>
      </c>
      <c r="G23" s="1156" t="s">
        <v>1071</v>
      </c>
      <c r="H23" s="1155">
        <f t="shared" si="0"/>
        <v>0</v>
      </c>
      <c r="I23" s="1154"/>
      <c r="J23" s="1144"/>
      <c r="K23" s="2018">
        <f t="shared" si="1"/>
        <v>0</v>
      </c>
      <c r="L23" s="2019"/>
      <c r="M23" s="2019"/>
      <c r="N23" s="2019"/>
      <c r="O23" s="2019"/>
      <c r="P23" s="2019"/>
      <c r="Q23" s="2014"/>
      <c r="R23" s="1153"/>
      <c r="AD23" s="1074">
        <v>23</v>
      </c>
    </row>
    <row r="24" spans="6:30" ht="24" customHeight="1">
      <c r="F24" s="1149" t="s">
        <v>1072</v>
      </c>
      <c r="G24" s="1156" t="s">
        <v>1073</v>
      </c>
      <c r="H24" s="1155">
        <f t="shared" si="0"/>
        <v>0</v>
      </c>
      <c r="I24" s="1154"/>
      <c r="J24" s="1144"/>
      <c r="K24" s="2018">
        <f t="shared" si="1"/>
        <v>0</v>
      </c>
      <c r="L24" s="2019"/>
      <c r="M24" s="2019"/>
      <c r="N24" s="2019"/>
      <c r="O24" s="2019"/>
      <c r="P24" s="2019"/>
      <c r="Q24" s="2014"/>
      <c r="R24" s="1153"/>
      <c r="AD24" s="1074">
        <v>23</v>
      </c>
    </row>
    <row r="25" spans="6:30" ht="35.65" customHeight="1">
      <c r="F25" s="1149" t="s">
        <v>1074</v>
      </c>
      <c r="G25" s="1156" t="s">
        <v>1075</v>
      </c>
      <c r="H25" s="1155">
        <f t="shared" si="0"/>
        <v>0</v>
      </c>
      <c r="I25" s="1154"/>
      <c r="J25" s="1144"/>
      <c r="K25" s="2018">
        <f t="shared" si="1"/>
        <v>0</v>
      </c>
      <c r="L25" s="2019"/>
      <c r="M25" s="2019"/>
      <c r="N25" s="2019"/>
      <c r="O25" s="2019"/>
      <c r="P25" s="2019"/>
      <c r="Q25" s="2014"/>
      <c r="R25" s="1153"/>
      <c r="AD25" s="1074">
        <v>34</v>
      </c>
    </row>
    <row r="26" spans="6:30" ht="35.65" customHeight="1">
      <c r="F26" s="1149" t="s">
        <v>1076</v>
      </c>
      <c r="G26" s="1156" t="s">
        <v>1077</v>
      </c>
      <c r="H26" s="1155">
        <f t="shared" si="0"/>
        <v>0</v>
      </c>
      <c r="I26" s="1154"/>
      <c r="J26" s="1144"/>
      <c r="K26" s="2018">
        <f t="shared" si="1"/>
        <v>0</v>
      </c>
      <c r="L26" s="2019"/>
      <c r="M26" s="2019"/>
      <c r="N26" s="2019"/>
      <c r="O26" s="2019"/>
      <c r="P26" s="2019"/>
      <c r="Q26" s="2014"/>
      <c r="R26" s="1153"/>
      <c r="AD26" s="1074">
        <v>34</v>
      </c>
    </row>
    <row r="27" spans="6:30" ht="11.45" customHeight="1">
      <c r="F27" s="1149" t="s">
        <v>1078</v>
      </c>
      <c r="G27" s="1156" t="s">
        <v>1079</v>
      </c>
      <c r="H27" s="1155">
        <f t="shared" si="0"/>
        <v>0</v>
      </c>
      <c r="I27" s="1154"/>
      <c r="J27" s="1144"/>
      <c r="K27" s="2018">
        <f t="shared" si="1"/>
        <v>0</v>
      </c>
      <c r="L27" s="2019"/>
      <c r="M27" s="2019"/>
      <c r="N27" s="2019"/>
      <c r="O27" s="2019"/>
      <c r="P27" s="2019"/>
      <c r="Q27" s="2014"/>
      <c r="R27" s="1153"/>
      <c r="AD27" s="1074">
        <v>11</v>
      </c>
    </row>
    <row r="28" spans="6:30" ht="11.45" customHeight="1">
      <c r="F28" s="1149">
        <v>2</v>
      </c>
      <c r="G28" s="627" t="s">
        <v>1080</v>
      </c>
      <c r="H28" s="1155">
        <f t="shared" si="0"/>
        <v>0</v>
      </c>
      <c r="I28" s="1155">
        <f>SUM(I29:I31)</f>
        <v>0</v>
      </c>
      <c r="J28" s="1144"/>
      <c r="K28" s="2018">
        <f t="shared" si="1"/>
        <v>0</v>
      </c>
      <c r="L28" s="2018">
        <f>SUM(L29:L31)</f>
        <v>0</v>
      </c>
      <c r="M28" s="2018">
        <f>SUM(M29:M31)</f>
        <v>0</v>
      </c>
      <c r="N28" s="2018">
        <f>SUM(N29:N31)</f>
        <v>0</v>
      </c>
      <c r="O28" s="2018">
        <f>SUM(O29:O31)</f>
        <v>0</v>
      </c>
      <c r="P28" s="2018">
        <f>SUM(P29:P31)</f>
        <v>0</v>
      </c>
      <c r="Q28" s="2014"/>
      <c r="R28" s="1153"/>
      <c r="AD28" s="1074">
        <v>11</v>
      </c>
    </row>
    <row r="29" spans="6:30" ht="11.45" customHeight="1">
      <c r="F29" s="1149" t="s">
        <v>709</v>
      </c>
      <c r="G29" s="1156" t="s">
        <v>1081</v>
      </c>
      <c r="H29" s="1155">
        <f t="shared" si="0"/>
        <v>0</v>
      </c>
      <c r="I29" s="1154"/>
      <c r="J29" s="1144"/>
      <c r="K29" s="2018">
        <f t="shared" si="1"/>
        <v>0</v>
      </c>
      <c r="L29" s="2019"/>
      <c r="M29" s="2019"/>
      <c r="N29" s="2019"/>
      <c r="O29" s="2019"/>
      <c r="P29" s="2019"/>
      <c r="Q29" s="2014"/>
      <c r="R29" s="1153"/>
      <c r="AD29" s="1074">
        <v>11</v>
      </c>
    </row>
    <row r="30" spans="6:30" ht="11.45" customHeight="1">
      <c r="F30" s="1149" t="s">
        <v>305</v>
      </c>
      <c r="G30" s="1156" t="s">
        <v>1082</v>
      </c>
      <c r="H30" s="1155">
        <f t="shared" si="0"/>
        <v>0</v>
      </c>
      <c r="I30" s="1154"/>
      <c r="J30" s="1144"/>
      <c r="K30" s="2018">
        <f t="shared" si="1"/>
        <v>0</v>
      </c>
      <c r="L30" s="2019"/>
      <c r="M30" s="2019"/>
      <c r="N30" s="2019"/>
      <c r="O30" s="2019"/>
      <c r="P30" s="2019"/>
      <c r="Q30" s="2014"/>
      <c r="R30" s="1153"/>
      <c r="AD30" s="1074">
        <v>11</v>
      </c>
    </row>
    <row r="31" spans="6:30" ht="11.45" customHeight="1">
      <c r="F31" s="1149" t="s">
        <v>308</v>
      </c>
      <c r="G31" s="1156" t="s">
        <v>1083</v>
      </c>
      <c r="H31" s="1155">
        <f t="shared" si="0"/>
        <v>0</v>
      </c>
      <c r="I31" s="1154"/>
      <c r="J31" s="1144"/>
      <c r="K31" s="2018">
        <f t="shared" si="1"/>
        <v>0</v>
      </c>
      <c r="L31" s="2019"/>
      <c r="M31" s="2019"/>
      <c r="N31" s="2019"/>
      <c r="O31" s="2019"/>
      <c r="P31" s="2019"/>
      <c r="Q31" s="2014"/>
      <c r="R31" s="1153"/>
      <c r="AD31" s="1074">
        <v>11</v>
      </c>
    </row>
    <row r="32" spans="6:30" ht="11.45" customHeight="1">
      <c r="F32" s="1149">
        <v>3</v>
      </c>
      <c r="G32" s="627" t="s">
        <v>1084</v>
      </c>
      <c r="H32" s="1155">
        <f t="shared" si="0"/>
        <v>0</v>
      </c>
      <c r="I32" s="1155">
        <f>SUM(I33:I34)</f>
        <v>0</v>
      </c>
      <c r="J32" s="1144"/>
      <c r="K32" s="2018">
        <f t="shared" si="1"/>
        <v>0</v>
      </c>
      <c r="L32" s="2018">
        <f>SUM(L33:L34)</f>
        <v>0</v>
      </c>
      <c r="M32" s="2018">
        <f>SUM(M33:M34)</f>
        <v>0</v>
      </c>
      <c r="N32" s="2018">
        <f>SUM(N33:N34)</f>
        <v>0</v>
      </c>
      <c r="O32" s="2018">
        <f>SUM(O33:O34)</f>
        <v>0</v>
      </c>
      <c r="P32" s="2018">
        <f>SUM(P33:P34)</f>
        <v>0</v>
      </c>
      <c r="Q32" s="2014"/>
      <c r="R32" s="1153"/>
      <c r="AD32" s="1074">
        <v>11</v>
      </c>
    </row>
    <row r="33" spans="6:30" ht="48.2" customHeight="1">
      <c r="F33" s="1149" t="s">
        <v>322</v>
      </c>
      <c r="G33" s="1156" t="s">
        <v>1085</v>
      </c>
      <c r="H33" s="1155">
        <f t="shared" si="0"/>
        <v>0</v>
      </c>
      <c r="I33" s="1154"/>
      <c r="J33" s="1144"/>
      <c r="K33" s="2018">
        <f t="shared" si="1"/>
        <v>0</v>
      </c>
      <c r="L33" s="2019"/>
      <c r="M33" s="2019"/>
      <c r="N33" s="2019"/>
      <c r="O33" s="2019"/>
      <c r="P33" s="2019"/>
      <c r="Q33" s="2014"/>
      <c r="R33" s="1153"/>
      <c r="AD33" s="1074">
        <v>46</v>
      </c>
    </row>
    <row r="34" spans="6:30" ht="11.45" customHeight="1">
      <c r="F34" s="1149" t="s">
        <v>330</v>
      </c>
      <c r="G34" s="1156" t="s">
        <v>1086</v>
      </c>
      <c r="H34" s="1155">
        <f t="shared" si="0"/>
        <v>0</v>
      </c>
      <c r="I34" s="1154"/>
      <c r="J34" s="1144"/>
      <c r="K34" s="2018">
        <f t="shared" si="1"/>
        <v>0</v>
      </c>
      <c r="L34" s="2019"/>
      <c r="M34" s="2019"/>
      <c r="N34" s="2019"/>
      <c r="O34" s="2019"/>
      <c r="P34" s="2019"/>
      <c r="Q34" s="2014"/>
      <c r="R34" s="1153"/>
      <c r="AD34" s="1074">
        <v>11</v>
      </c>
    </row>
    <row r="35" spans="6:30" ht="11.45" customHeight="1">
      <c r="F35" s="1149">
        <v>4</v>
      </c>
      <c r="G35" s="627" t="s">
        <v>1087</v>
      </c>
      <c r="H35" s="1155">
        <f t="shared" si="0"/>
        <v>0</v>
      </c>
      <c r="I35" s="1154"/>
      <c r="J35" s="1144"/>
      <c r="K35" s="2018">
        <f t="shared" si="1"/>
        <v>0</v>
      </c>
      <c r="L35" s="2019"/>
      <c r="M35" s="2019"/>
      <c r="N35" s="2019"/>
      <c r="O35" s="2019"/>
      <c r="P35" s="2019"/>
      <c r="Q35" s="2014"/>
      <c r="R35" s="1153"/>
      <c r="AD35" s="1074">
        <v>11</v>
      </c>
    </row>
    <row r="36" spans="6:30" ht="11.45" customHeight="1">
      <c r="F36" s="1149"/>
      <c r="G36" s="630" t="s">
        <v>1088</v>
      </c>
      <c r="H36" s="1155">
        <f t="shared" si="0"/>
        <v>0</v>
      </c>
      <c r="I36" s="1155">
        <f>SUM(I15,I28,I32,I35)</f>
        <v>0</v>
      </c>
      <c r="J36" s="1144"/>
      <c r="K36" s="2018">
        <f t="shared" si="1"/>
        <v>0</v>
      </c>
      <c r="L36" s="2018">
        <f>SUM(L15,L28,L32,L35)</f>
        <v>0</v>
      </c>
      <c r="M36" s="2018">
        <f>SUM(M15,M28,M32,M35)</f>
        <v>0</v>
      </c>
      <c r="N36" s="2018">
        <f>SUM(N15,N28,N32,N35)</f>
        <v>0</v>
      </c>
      <c r="O36" s="2018">
        <f>SUM(O15,O28,O32,O35)</f>
        <v>0</v>
      </c>
      <c r="P36" s="2018">
        <f>SUM(P15,P28,P32,P35)</f>
        <v>0</v>
      </c>
      <c r="Q36" s="2014"/>
      <c r="R36" s="1153"/>
      <c r="AD36" s="1074">
        <v>11</v>
      </c>
    </row>
    <row r="37" spans="6:30" ht="29.25" customHeight="1">
      <c r="F37" s="1150" t="s">
        <v>1089</v>
      </c>
      <c r="G37" s="2655" t="s">
        <v>1090</v>
      </c>
      <c r="H37" s="2655"/>
      <c r="I37" s="2655"/>
      <c r="J37" s="2655"/>
      <c r="K37" s="2020"/>
      <c r="L37" s="2020"/>
      <c r="M37" s="2020"/>
      <c r="N37" s="2020"/>
      <c r="O37" s="2020"/>
      <c r="P37" s="2020"/>
      <c r="Q37" s="2020"/>
      <c r="R37" s="1153"/>
      <c r="AD37" s="1074">
        <v>28</v>
      </c>
    </row>
    <row r="38" spans="6:30" ht="24" customHeight="1">
      <c r="F38" s="1149" t="s">
        <v>108</v>
      </c>
      <c r="G38" s="627" t="s">
        <v>1091</v>
      </c>
      <c r="H38" s="1155">
        <f t="shared" ref="H38:H58" si="2">SUM(I38:J38)</f>
        <v>0</v>
      </c>
      <c r="I38" s="1155">
        <f>SUM(I39,I44,I47)</f>
        <v>0</v>
      </c>
      <c r="J38" s="1144"/>
      <c r="K38" s="2018">
        <f t="shared" ref="K38:K58" si="3">SUM(L38:Q38)</f>
        <v>0</v>
      </c>
      <c r="L38" s="2018">
        <f>SUM(L39,L44,L47)</f>
        <v>0</v>
      </c>
      <c r="M38" s="2018">
        <f>SUM(M39,M44,M47)</f>
        <v>0</v>
      </c>
      <c r="N38" s="2018">
        <f>SUM(N39,N44,N47)</f>
        <v>0</v>
      </c>
      <c r="O38" s="2018">
        <f>SUM(O39,O44,O47)</f>
        <v>0</v>
      </c>
      <c r="P38" s="2018">
        <f>SUM(P39,P44,P47)</f>
        <v>0</v>
      </c>
      <c r="Q38" s="2014"/>
      <c r="R38" s="1153"/>
      <c r="AD38" s="1074">
        <v>23</v>
      </c>
    </row>
    <row r="39" spans="6:30" ht="11.45" customHeight="1">
      <c r="F39" s="1149" t="s">
        <v>1056</v>
      </c>
      <c r="G39" s="1156" t="s">
        <v>1055</v>
      </c>
      <c r="H39" s="1155">
        <f t="shared" si="2"/>
        <v>0</v>
      </c>
      <c r="I39" s="1155">
        <f>SUM(I40:I43)</f>
        <v>0</v>
      </c>
      <c r="J39" s="1144"/>
      <c r="K39" s="2018">
        <f t="shared" si="3"/>
        <v>0</v>
      </c>
      <c r="L39" s="2018">
        <f>SUM(L40:L43)</f>
        <v>0</v>
      </c>
      <c r="M39" s="2018">
        <f>SUM(M40:M43)</f>
        <v>0</v>
      </c>
      <c r="N39" s="2018">
        <f>SUM(N40:N43)</f>
        <v>0</v>
      </c>
      <c r="O39" s="2018">
        <f>SUM(O40:O43)</f>
        <v>0</v>
      </c>
      <c r="P39" s="2018">
        <f>SUM(P40:P43)</f>
        <v>0</v>
      </c>
      <c r="Q39" s="2014"/>
      <c r="R39" s="1153"/>
      <c r="AD39" s="1074">
        <v>11</v>
      </c>
    </row>
    <row r="40" spans="6:30" ht="24" customHeight="1">
      <c r="F40" s="1149" t="s">
        <v>1092</v>
      </c>
      <c r="G40" s="1157" t="s">
        <v>1093</v>
      </c>
      <c r="H40" s="1155">
        <f t="shared" si="2"/>
        <v>0</v>
      </c>
      <c r="I40" s="1154"/>
      <c r="J40" s="1144"/>
      <c r="K40" s="2018">
        <f t="shared" si="3"/>
        <v>0</v>
      </c>
      <c r="L40" s="2019"/>
      <c r="M40" s="2019"/>
      <c r="N40" s="2019"/>
      <c r="O40" s="2019"/>
      <c r="P40" s="2019"/>
      <c r="Q40" s="2014"/>
      <c r="R40" s="1153"/>
      <c r="AD40" s="1074">
        <v>23</v>
      </c>
    </row>
    <row r="41" spans="6:30" ht="11.45" customHeight="1">
      <c r="F41" s="1149" t="s">
        <v>1094</v>
      </c>
      <c r="G41" s="1157" t="s">
        <v>1095</v>
      </c>
      <c r="H41" s="1155">
        <f t="shared" si="2"/>
        <v>0</v>
      </c>
      <c r="I41" s="1154"/>
      <c r="J41" s="1144"/>
      <c r="K41" s="2018">
        <f t="shared" si="3"/>
        <v>0</v>
      </c>
      <c r="L41" s="2019"/>
      <c r="M41" s="2019"/>
      <c r="N41" s="2019"/>
      <c r="O41" s="2019"/>
      <c r="P41" s="2019"/>
      <c r="Q41" s="2014"/>
      <c r="R41" s="1153"/>
      <c r="AD41" s="1074">
        <v>11</v>
      </c>
    </row>
    <row r="42" spans="6:30" ht="11.45" customHeight="1">
      <c r="F42" s="1149" t="s">
        <v>1096</v>
      </c>
      <c r="G42" s="1157" t="s">
        <v>1097</v>
      </c>
      <c r="H42" s="1155">
        <f t="shared" si="2"/>
        <v>0</v>
      </c>
      <c r="I42" s="1154"/>
      <c r="J42" s="1144"/>
      <c r="K42" s="2018">
        <f t="shared" si="3"/>
        <v>0</v>
      </c>
      <c r="L42" s="2019"/>
      <c r="M42" s="2019"/>
      <c r="N42" s="2019"/>
      <c r="O42" s="2019"/>
      <c r="P42" s="2019"/>
      <c r="Q42" s="2014"/>
      <c r="R42" s="1153"/>
      <c r="AD42" s="1074">
        <v>11</v>
      </c>
    </row>
    <row r="43" spans="6:30" ht="35.65" customHeight="1">
      <c r="F43" s="1149" t="s">
        <v>1098</v>
      </c>
      <c r="G43" s="1157" t="s">
        <v>1099</v>
      </c>
      <c r="H43" s="1155">
        <f t="shared" si="2"/>
        <v>0</v>
      </c>
      <c r="I43" s="1154"/>
      <c r="J43" s="1144"/>
      <c r="K43" s="2018">
        <f t="shared" si="3"/>
        <v>0</v>
      </c>
      <c r="L43" s="2019"/>
      <c r="M43" s="2019"/>
      <c r="N43" s="2019"/>
      <c r="O43" s="2019"/>
      <c r="P43" s="2019"/>
      <c r="Q43" s="2014"/>
      <c r="R43" s="1153"/>
      <c r="AD43" s="1074">
        <v>34</v>
      </c>
    </row>
    <row r="44" spans="6:30" ht="11.45" customHeight="1">
      <c r="F44" s="1149" t="s">
        <v>1058</v>
      </c>
      <c r="G44" s="1156" t="s">
        <v>1084</v>
      </c>
      <c r="H44" s="1155">
        <f t="shared" si="2"/>
        <v>0</v>
      </c>
      <c r="I44" s="1155">
        <f>SUM(I45:I46)</f>
        <v>0</v>
      </c>
      <c r="J44" s="1144"/>
      <c r="K44" s="2018">
        <f t="shared" si="3"/>
        <v>0</v>
      </c>
      <c r="L44" s="2018">
        <f>SUM(L45:L46)</f>
        <v>0</v>
      </c>
      <c r="M44" s="2018">
        <f>SUM(M45:M46)</f>
        <v>0</v>
      </c>
      <c r="N44" s="2018">
        <f>SUM(N45:N46)</f>
        <v>0</v>
      </c>
      <c r="O44" s="2018">
        <f>SUM(O45:O46)</f>
        <v>0</v>
      </c>
      <c r="P44" s="2018">
        <f>SUM(P45:P46)</f>
        <v>0</v>
      </c>
      <c r="Q44" s="2014"/>
      <c r="R44" s="1153"/>
      <c r="AD44" s="1074">
        <v>11</v>
      </c>
    </row>
    <row r="45" spans="6:30" ht="48.2" customHeight="1">
      <c r="F45" s="1149" t="s">
        <v>1100</v>
      </c>
      <c r="G45" s="1157" t="s">
        <v>1085</v>
      </c>
      <c r="H45" s="1155">
        <f t="shared" si="2"/>
        <v>0</v>
      </c>
      <c r="I45" s="1154"/>
      <c r="J45" s="1144"/>
      <c r="K45" s="2018">
        <f t="shared" si="3"/>
        <v>0</v>
      </c>
      <c r="L45" s="2019"/>
      <c r="M45" s="2019"/>
      <c r="N45" s="2019"/>
      <c r="O45" s="2019"/>
      <c r="P45" s="2019"/>
      <c r="Q45" s="2014"/>
      <c r="R45" s="1153"/>
      <c r="AD45" s="1074">
        <v>46</v>
      </c>
    </row>
    <row r="46" spans="6:30" ht="11.45" customHeight="1">
      <c r="F46" s="1149" t="s">
        <v>1101</v>
      </c>
      <c r="G46" s="1157" t="s">
        <v>1086</v>
      </c>
      <c r="H46" s="1155">
        <f t="shared" si="2"/>
        <v>0</v>
      </c>
      <c r="I46" s="1154"/>
      <c r="J46" s="1144"/>
      <c r="K46" s="2018">
        <f t="shared" si="3"/>
        <v>0</v>
      </c>
      <c r="L46" s="2019"/>
      <c r="M46" s="2019"/>
      <c r="N46" s="2019"/>
      <c r="O46" s="2019"/>
      <c r="P46" s="2019"/>
      <c r="Q46" s="2014"/>
      <c r="R46" s="1153"/>
      <c r="AD46" s="1074">
        <v>11</v>
      </c>
    </row>
    <row r="47" spans="6:30" ht="11.45" customHeight="1">
      <c r="F47" s="1149" t="s">
        <v>1060</v>
      </c>
      <c r="G47" s="1156" t="s">
        <v>1102</v>
      </c>
      <c r="H47" s="1155">
        <f t="shared" si="2"/>
        <v>0</v>
      </c>
      <c r="I47" s="1154"/>
      <c r="J47" s="1144"/>
      <c r="K47" s="2018">
        <f t="shared" si="3"/>
        <v>0</v>
      </c>
      <c r="L47" s="2019"/>
      <c r="M47" s="2019"/>
      <c r="N47" s="2019"/>
      <c r="O47" s="2019"/>
      <c r="P47" s="2019"/>
      <c r="Q47" s="2014"/>
      <c r="R47" s="1153"/>
      <c r="AD47" s="1074">
        <v>11</v>
      </c>
    </row>
    <row r="48" spans="6:30" ht="24" customHeight="1">
      <c r="F48" s="1149" t="s">
        <v>109</v>
      </c>
      <c r="G48" s="627" t="s">
        <v>1103</v>
      </c>
      <c r="H48" s="1155">
        <f t="shared" si="2"/>
        <v>0</v>
      </c>
      <c r="I48" s="1155">
        <f>SUM(I49,I54,I57)</f>
        <v>0</v>
      </c>
      <c r="J48" s="1144"/>
      <c r="K48" s="2018">
        <f t="shared" si="3"/>
        <v>0</v>
      </c>
      <c r="L48" s="2018">
        <f>SUM(L49,L54,L57)</f>
        <v>0</v>
      </c>
      <c r="M48" s="2018">
        <f>SUM(M49,M54,M57)</f>
        <v>0</v>
      </c>
      <c r="N48" s="2018">
        <f>SUM(N49,N54,N57)</f>
        <v>0</v>
      </c>
      <c r="O48" s="2018">
        <f>SUM(O49,O54,O57)</f>
        <v>0</v>
      </c>
      <c r="P48" s="2018">
        <f>SUM(P49,P54,P57)</f>
        <v>0</v>
      </c>
      <c r="Q48" s="2014"/>
      <c r="R48" s="1153"/>
      <c r="AD48" s="1074">
        <v>23</v>
      </c>
    </row>
    <row r="49" spans="1:30" ht="11.45" customHeight="1">
      <c r="F49" s="1149" t="s">
        <v>709</v>
      </c>
      <c r="G49" s="1156" t="s">
        <v>1055</v>
      </c>
      <c r="H49" s="1155">
        <f t="shared" si="2"/>
        <v>0</v>
      </c>
      <c r="I49" s="1155">
        <f>SUM(I50:I53)</f>
        <v>0</v>
      </c>
      <c r="J49" s="1144"/>
      <c r="K49" s="2018">
        <f t="shared" si="3"/>
        <v>0</v>
      </c>
      <c r="L49" s="2018">
        <f>SUM(L50:L53)</f>
        <v>0</v>
      </c>
      <c r="M49" s="2018">
        <f>SUM(M50:M53)</f>
        <v>0</v>
      </c>
      <c r="N49" s="2018">
        <f>SUM(N50:N53)</f>
        <v>0</v>
      </c>
      <c r="O49" s="2018">
        <f>SUM(O50:O53)</f>
        <v>0</v>
      </c>
      <c r="P49" s="2018">
        <f>SUM(P50:P53)</f>
        <v>0</v>
      </c>
      <c r="Q49" s="2014"/>
      <c r="R49" s="1153"/>
      <c r="AD49" s="1074">
        <v>11</v>
      </c>
    </row>
    <row r="50" spans="1:30" ht="24" customHeight="1">
      <c r="F50" s="1149" t="s">
        <v>712</v>
      </c>
      <c r="G50" s="1157" t="s">
        <v>1093</v>
      </c>
      <c r="H50" s="1155">
        <f t="shared" si="2"/>
        <v>0</v>
      </c>
      <c r="I50" s="1154"/>
      <c r="J50" s="1144"/>
      <c r="K50" s="2018">
        <f t="shared" si="3"/>
        <v>0</v>
      </c>
      <c r="L50" s="2019"/>
      <c r="M50" s="2019"/>
      <c r="N50" s="2019"/>
      <c r="O50" s="2019"/>
      <c r="P50" s="2019"/>
      <c r="Q50" s="2014"/>
      <c r="R50" s="1153"/>
      <c r="AD50" s="1074">
        <v>23</v>
      </c>
    </row>
    <row r="51" spans="1:30" ht="11.45" customHeight="1">
      <c r="F51" s="1149" t="s">
        <v>715</v>
      </c>
      <c r="G51" s="1157" t="s">
        <v>1095</v>
      </c>
      <c r="H51" s="1155">
        <f t="shared" si="2"/>
        <v>0</v>
      </c>
      <c r="I51" s="1154"/>
      <c r="J51" s="1144"/>
      <c r="K51" s="2018">
        <f t="shared" si="3"/>
        <v>0</v>
      </c>
      <c r="L51" s="2019"/>
      <c r="M51" s="2019"/>
      <c r="N51" s="2019"/>
      <c r="O51" s="2019"/>
      <c r="P51" s="2019"/>
      <c r="Q51" s="2014"/>
      <c r="R51" s="1153"/>
      <c r="AD51" s="1074">
        <v>11</v>
      </c>
    </row>
    <row r="52" spans="1:30" ht="11.45" customHeight="1">
      <c r="F52" s="1149" t="s">
        <v>1104</v>
      </c>
      <c r="G52" s="1157" t="s">
        <v>1097</v>
      </c>
      <c r="H52" s="1155">
        <f t="shared" si="2"/>
        <v>0</v>
      </c>
      <c r="I52" s="1154"/>
      <c r="J52" s="1144"/>
      <c r="K52" s="2018">
        <f t="shared" si="3"/>
        <v>0</v>
      </c>
      <c r="L52" s="2019"/>
      <c r="M52" s="2019"/>
      <c r="N52" s="2019"/>
      <c r="O52" s="2019"/>
      <c r="P52" s="2019"/>
      <c r="Q52" s="2014"/>
      <c r="R52" s="1153"/>
      <c r="AD52" s="1074">
        <v>11</v>
      </c>
    </row>
    <row r="53" spans="1:30" ht="35.65" customHeight="1">
      <c r="F53" s="1149" t="s">
        <v>1105</v>
      </c>
      <c r="G53" s="1157" t="s">
        <v>1099</v>
      </c>
      <c r="H53" s="1155">
        <f t="shared" si="2"/>
        <v>0</v>
      </c>
      <c r="I53" s="1154"/>
      <c r="J53" s="1144"/>
      <c r="K53" s="2018">
        <f t="shared" si="3"/>
        <v>0</v>
      </c>
      <c r="L53" s="2019"/>
      <c r="M53" s="2019"/>
      <c r="N53" s="2019"/>
      <c r="O53" s="2019"/>
      <c r="P53" s="2019"/>
      <c r="Q53" s="2014"/>
      <c r="R53" s="1153"/>
      <c r="AD53" s="1074">
        <v>34</v>
      </c>
    </row>
    <row r="54" spans="1:30" ht="11.45" customHeight="1">
      <c r="F54" s="1149" t="s">
        <v>305</v>
      </c>
      <c r="G54" s="1156" t="s">
        <v>1084</v>
      </c>
      <c r="H54" s="1155">
        <f t="shared" si="2"/>
        <v>0</v>
      </c>
      <c r="I54" s="1155">
        <f>SUM(I55:I56)</f>
        <v>0</v>
      </c>
      <c r="J54" s="1144"/>
      <c r="K54" s="2018">
        <f t="shared" si="3"/>
        <v>0</v>
      </c>
      <c r="L54" s="2018">
        <f>SUM(L55:L56)</f>
        <v>0</v>
      </c>
      <c r="M54" s="2018">
        <f>SUM(M55:M56)</f>
        <v>0</v>
      </c>
      <c r="N54" s="2018">
        <f>SUM(N55:N56)</f>
        <v>0</v>
      </c>
      <c r="O54" s="2018">
        <f>SUM(O55:O56)</f>
        <v>0</v>
      </c>
      <c r="P54" s="2018">
        <f>SUM(P55:P56)</f>
        <v>0</v>
      </c>
      <c r="Q54" s="2014"/>
      <c r="R54" s="1153"/>
      <c r="AD54" s="1074">
        <v>11</v>
      </c>
    </row>
    <row r="55" spans="1:30" ht="48.2" customHeight="1">
      <c r="F55" s="1149" t="s">
        <v>719</v>
      </c>
      <c r="G55" s="1157" t="s">
        <v>1085</v>
      </c>
      <c r="H55" s="1155">
        <f t="shared" si="2"/>
        <v>0</v>
      </c>
      <c r="I55" s="1154"/>
      <c r="J55" s="1144"/>
      <c r="K55" s="2018">
        <f t="shared" si="3"/>
        <v>0</v>
      </c>
      <c r="L55" s="2019"/>
      <c r="M55" s="2019"/>
      <c r="N55" s="2019"/>
      <c r="O55" s="2019"/>
      <c r="P55" s="2019"/>
      <c r="Q55" s="2014"/>
      <c r="R55" s="1153"/>
      <c r="AD55" s="1074">
        <v>46</v>
      </c>
    </row>
    <row r="56" spans="1:30" ht="11.45" customHeight="1">
      <c r="F56" s="1149" t="s">
        <v>721</v>
      </c>
      <c r="G56" s="1157" t="s">
        <v>1086</v>
      </c>
      <c r="H56" s="1155">
        <f t="shared" si="2"/>
        <v>0</v>
      </c>
      <c r="I56" s="1154"/>
      <c r="J56" s="1144"/>
      <c r="K56" s="2018">
        <f t="shared" si="3"/>
        <v>0</v>
      </c>
      <c r="L56" s="2019"/>
      <c r="M56" s="2019"/>
      <c r="N56" s="2019"/>
      <c r="O56" s="2019"/>
      <c r="P56" s="2019"/>
      <c r="Q56" s="2014"/>
      <c r="R56" s="1153"/>
      <c r="AD56" s="1074">
        <v>11</v>
      </c>
    </row>
    <row r="57" spans="1:30" ht="11.45" customHeight="1">
      <c r="F57" s="1149" t="s">
        <v>308</v>
      </c>
      <c r="G57" s="1156" t="s">
        <v>1102</v>
      </c>
      <c r="H57" s="1155">
        <f t="shared" si="2"/>
        <v>0</v>
      </c>
      <c r="I57" s="1154"/>
      <c r="J57" s="1144"/>
      <c r="K57" s="2018">
        <f t="shared" si="3"/>
        <v>0</v>
      </c>
      <c r="L57" s="2019"/>
      <c r="M57" s="2019"/>
      <c r="N57" s="2019"/>
      <c r="O57" s="2019"/>
      <c r="P57" s="2019"/>
      <c r="Q57" s="2014"/>
      <c r="R57" s="1153"/>
      <c r="AD57" s="1074">
        <v>11</v>
      </c>
    </row>
    <row r="58" spans="1:30" ht="11.45" customHeight="1">
      <c r="F58" s="1149"/>
      <c r="G58" s="1158" t="s">
        <v>1088</v>
      </c>
      <c r="H58" s="1155">
        <f t="shared" si="2"/>
        <v>0</v>
      </c>
      <c r="I58" s="1155">
        <f>SUM(I38,I48)</f>
        <v>0</v>
      </c>
      <c r="J58" s="1144"/>
      <c r="K58" s="2018">
        <f t="shared" si="3"/>
        <v>0</v>
      </c>
      <c r="L58" s="2018">
        <f>SUM(L38,L48)</f>
        <v>0</v>
      </c>
      <c r="M58" s="2018">
        <f>SUM(M38,M48)</f>
        <v>0</v>
      </c>
      <c r="N58" s="2018">
        <f>SUM(N38,N48)</f>
        <v>0</v>
      </c>
      <c r="O58" s="2018">
        <f>SUM(O38,O48)</f>
        <v>0</v>
      </c>
      <c r="P58" s="2018">
        <f>SUM(P38,P48)</f>
        <v>0</v>
      </c>
      <c r="Q58" s="2014"/>
      <c r="R58" s="1153"/>
      <c r="AD58" s="1074">
        <v>11</v>
      </c>
    </row>
    <row r="59" spans="1:30" ht="10.5" hidden="1" customHeight="1">
      <c r="A59" s="1085" t="s">
        <v>81</v>
      </c>
      <c r="B59" s="1085">
        <v>0</v>
      </c>
      <c r="C59" s="1085">
        <v>0</v>
      </c>
      <c r="D59" s="1079">
        <v>0</v>
      </c>
      <c r="E59" s="446">
        <v>3</v>
      </c>
      <c r="F59" s="1074">
        <v>6</v>
      </c>
      <c r="G59" s="1074">
        <v>60</v>
      </c>
      <c r="H59" s="1074">
        <v>0</v>
      </c>
      <c r="I59" s="1074">
        <v>0</v>
      </c>
      <c r="J59" s="1074">
        <v>0</v>
      </c>
      <c r="K59" s="2006">
        <v>0</v>
      </c>
      <c r="L59" s="2006">
        <v>0</v>
      </c>
      <c r="M59" s="2006">
        <v>0</v>
      </c>
      <c r="N59" s="2006">
        <v>0</v>
      </c>
      <c r="O59" s="2006">
        <v>0</v>
      </c>
      <c r="P59" s="2006">
        <v>0</v>
      </c>
      <c r="Q59" s="2006">
        <v>0</v>
      </c>
      <c r="R59" s="1074">
        <v>1</v>
      </c>
      <c r="S59" s="1074">
        <v>8</v>
      </c>
      <c r="T59" s="1074">
        <v>8</v>
      </c>
      <c r="U59" s="1074">
        <v>8</v>
      </c>
      <c r="V59" s="1074">
        <v>8</v>
      </c>
      <c r="W59" s="1074">
        <v>8</v>
      </c>
      <c r="X59" s="1074">
        <v>8</v>
      </c>
      <c r="Y59" s="1074">
        <v>8</v>
      </c>
      <c r="Z59" s="1074">
        <v>8</v>
      </c>
      <c r="AA59" s="1074">
        <v>8</v>
      </c>
      <c r="AB59" s="1074">
        <v>8</v>
      </c>
      <c r="AC59" s="1074">
        <v>8</v>
      </c>
      <c r="AD59" s="1074">
        <v>10</v>
      </c>
    </row>
  </sheetData>
  <sheetProtection formatColumns="0" formatRows="0" insertRows="0" deleteColumns="0" deleteRows="0" sort="0" autoFilter="0"/>
  <mergeCells count="11">
    <mergeCell ref="K10:Q10"/>
    <mergeCell ref="K11:Q11"/>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L16:P16 L17:P17 L18:P18 L19:P19 L20:P20 L21:P21 L22:P22 L23:P23 L24:P24 L25:P25 L26:P26 L27:P27 L29:P29 L30:P30 L31:P31 L33:P33 L34:P34 L35:P35 L40:P40 L41:P41 L42:P42 L43:P43 L45:P45 L46:P46 L47:P47 L50:P50 L51:P51 L52:P52 L53:P53 L55:P55 L56:P56 L57:P5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GC28"/>
  <sheetViews>
    <sheetView showGridLines="0" topLeftCell="E4" zoomScale="90" workbookViewId="0">
      <selection activeCell="F4" sqref="F4:FV23"/>
    </sheetView>
  </sheetViews>
  <sheetFormatPr defaultColWidth="9.140625" defaultRowHeight="12" customHeight="1"/>
  <cols>
    <col min="1" max="1" width="4.7109375" style="2292" hidden="1" customWidth="1"/>
    <col min="2" max="2" width="4.7109375" style="2293" hidden="1" customWidth="1"/>
    <col min="3" max="4" width="4.7109375" style="2292" hidden="1" customWidth="1"/>
    <col min="5" max="5" width="3" style="2292" customWidth="1"/>
    <col min="6" max="6" width="6" style="2292" customWidth="1"/>
    <col min="7" max="7" width="18" style="2292" customWidth="1"/>
    <col min="8" max="8" width="27" style="2292" customWidth="1"/>
    <col min="9" max="9" width="18" style="2292" customWidth="1"/>
    <col min="10" max="14" width="0.85546875" style="2292" hidden="1" customWidth="1"/>
    <col min="15" max="28" width="21.7109375" style="2292" hidden="1" customWidth="1"/>
    <col min="29" max="71" width="0.85546875" style="2292" hidden="1" customWidth="1"/>
    <col min="72" max="79" width="21.7109375" style="2292" hidden="1" customWidth="1"/>
    <col min="80" max="81" width="29.140625" style="2292" hidden="1" customWidth="1"/>
    <col min="82" max="89" width="21.7109375" style="2292" hidden="1" customWidth="1"/>
    <col min="90" max="102" width="0.7109375" style="2292" hidden="1" customWidth="1"/>
    <col min="103" max="114" width="13.7109375" style="2292" customWidth="1"/>
    <col min="115" max="128" width="0.7109375" style="2292" customWidth="1"/>
    <col min="129" max="178" width="0.7109375" style="2292" hidden="1" customWidth="1"/>
    <col min="179" max="179" width="0.140625" style="2292" customWidth="1"/>
    <col min="180" max="184" width="8" style="2292" customWidth="1"/>
    <col min="185" max="185" width="9.140625" style="2292" hidden="1"/>
  </cols>
  <sheetData>
    <row r="1" spans="2:185" s="2286" customFormat="1" ht="12" hidden="1" customHeight="1">
      <c r="B1" s="849"/>
      <c r="C1" s="850"/>
      <c r="D1" s="850"/>
      <c r="GC1" s="848" t="s">
        <v>14</v>
      </c>
    </row>
    <row r="2" spans="2:185" s="2286" customFormat="1" ht="12" hidden="1" customHeight="1">
      <c r="B2" s="849"/>
      <c r="C2" s="850"/>
      <c r="D2" s="850"/>
      <c r="E2" s="850"/>
      <c r="F2" s="850"/>
      <c r="G2" s="850"/>
      <c r="H2" s="850"/>
      <c r="I2" s="850"/>
      <c r="J2" s="850"/>
      <c r="K2" s="850"/>
      <c r="L2" s="850"/>
      <c r="M2" s="850"/>
      <c r="N2" s="850"/>
      <c r="O2" s="850"/>
      <c r="P2" s="850"/>
      <c r="Q2" s="850"/>
      <c r="R2" s="850"/>
      <c r="S2" s="850"/>
      <c r="T2" s="850"/>
      <c r="U2" s="850"/>
      <c r="V2" s="850"/>
      <c r="W2" s="850"/>
      <c r="X2" s="850"/>
      <c r="Y2" s="850"/>
      <c r="Z2" s="850"/>
      <c r="AA2" s="850"/>
      <c r="AB2" s="851"/>
      <c r="AC2" s="850"/>
      <c r="AD2" s="850"/>
      <c r="AE2" s="850"/>
      <c r="AF2" s="850"/>
      <c r="AG2" s="850"/>
      <c r="AH2" s="850"/>
      <c r="AI2" s="850"/>
      <c r="AJ2" s="850"/>
      <c r="AK2" s="850"/>
      <c r="AL2" s="850"/>
      <c r="AM2" s="850"/>
      <c r="AN2" s="850"/>
      <c r="AO2" s="850"/>
      <c r="AP2" s="850"/>
      <c r="AQ2" s="850"/>
      <c r="AR2" s="850"/>
      <c r="AS2" s="850"/>
      <c r="AT2" s="850"/>
      <c r="AU2" s="850"/>
      <c r="AV2" s="850"/>
      <c r="AW2" s="850"/>
      <c r="AX2" s="850"/>
      <c r="AY2" s="850"/>
      <c r="AZ2" s="850"/>
      <c r="BA2" s="850"/>
      <c r="BB2" s="850"/>
      <c r="BC2" s="850"/>
      <c r="BD2" s="850"/>
      <c r="BE2" s="850"/>
      <c r="BF2" s="850"/>
      <c r="BG2" s="850"/>
      <c r="BH2" s="850"/>
      <c r="BI2" s="850"/>
      <c r="BJ2" s="850"/>
      <c r="BK2" s="850"/>
      <c r="BL2" s="850"/>
      <c r="BM2" s="850"/>
      <c r="BN2" s="850"/>
      <c r="BO2" s="850"/>
      <c r="BP2" s="850"/>
      <c r="BQ2" s="850"/>
      <c r="BR2" s="850"/>
      <c r="BS2" s="850"/>
      <c r="BT2" s="850"/>
      <c r="BU2" s="850"/>
      <c r="BV2" s="850"/>
      <c r="BW2" s="850"/>
      <c r="BX2" s="850"/>
      <c r="BY2" s="850"/>
      <c r="BZ2" s="850"/>
      <c r="CA2" s="850"/>
      <c r="CB2" s="850"/>
      <c r="CC2" s="850"/>
      <c r="CD2" s="850"/>
      <c r="CE2" s="850"/>
      <c r="CF2" s="850"/>
      <c r="CG2" s="850"/>
      <c r="CH2" s="850"/>
      <c r="CI2" s="850"/>
      <c r="CJ2" s="850"/>
      <c r="CK2" s="850"/>
      <c r="CL2" s="850"/>
      <c r="CM2" s="850"/>
      <c r="CN2" s="850"/>
      <c r="CO2" s="850"/>
      <c r="CP2" s="850"/>
      <c r="CQ2" s="850"/>
      <c r="CR2" s="850"/>
      <c r="CS2" s="850"/>
      <c r="CT2" s="850"/>
      <c r="CU2" s="850"/>
      <c r="CV2" s="850"/>
      <c r="CW2" s="850"/>
      <c r="CX2" s="850"/>
      <c r="CY2" s="850"/>
      <c r="CZ2" s="850"/>
      <c r="DA2" s="850"/>
      <c r="DB2" s="850"/>
      <c r="DC2" s="850"/>
      <c r="DD2" s="850"/>
      <c r="DE2" s="850"/>
      <c r="DF2" s="850"/>
      <c r="DG2" s="850"/>
      <c r="DH2" s="850"/>
      <c r="DI2" s="850"/>
      <c r="DJ2" s="850"/>
      <c r="DK2" s="850"/>
      <c r="DL2" s="850"/>
      <c r="DM2" s="850"/>
      <c r="DN2" s="850"/>
      <c r="DO2" s="850"/>
      <c r="DP2" s="850"/>
      <c r="DQ2" s="850"/>
      <c r="DR2" s="850"/>
      <c r="DS2" s="850"/>
      <c r="DT2" s="850"/>
      <c r="DU2" s="850"/>
      <c r="DV2" s="850"/>
      <c r="DW2" s="850"/>
      <c r="DX2" s="850"/>
      <c r="DY2" s="850"/>
      <c r="DZ2" s="850"/>
      <c r="EA2" s="850"/>
      <c r="EB2" s="850"/>
      <c r="EC2" s="850"/>
      <c r="ED2" s="850"/>
      <c r="EE2" s="850"/>
      <c r="EF2" s="850"/>
      <c r="EG2" s="850"/>
      <c r="EH2" s="850"/>
      <c r="EI2" s="850"/>
      <c r="EJ2" s="850"/>
      <c r="EK2" s="850"/>
      <c r="EL2" s="850"/>
      <c r="EM2" s="850"/>
      <c r="EN2" s="850"/>
      <c r="EO2" s="850"/>
      <c r="EP2" s="850"/>
      <c r="EQ2" s="850"/>
      <c r="ER2" s="850"/>
      <c r="ES2" s="850"/>
      <c r="ET2" s="850"/>
      <c r="EU2" s="850"/>
      <c r="EV2" s="850"/>
      <c r="EW2" s="850"/>
      <c r="EX2" s="850"/>
      <c r="EY2" s="850"/>
      <c r="EZ2" s="850"/>
      <c r="FA2" s="850"/>
      <c r="FB2" s="850"/>
      <c r="FC2" s="850"/>
      <c r="FD2" s="850"/>
      <c r="FE2" s="850"/>
      <c r="FF2" s="850"/>
      <c r="FG2" s="850"/>
      <c r="FH2" s="850"/>
      <c r="FI2" s="850"/>
      <c r="FJ2" s="850"/>
      <c r="FK2" s="850"/>
      <c r="FL2" s="850"/>
      <c r="FM2" s="850"/>
      <c r="FN2" s="850"/>
      <c r="FO2" s="850"/>
      <c r="FP2" s="850"/>
      <c r="FQ2" s="850"/>
      <c r="FR2" s="850"/>
      <c r="FS2" s="850"/>
      <c r="FT2" s="850"/>
      <c r="FU2" s="850"/>
      <c r="FV2" s="850"/>
      <c r="FW2" s="850"/>
      <c r="GC2" s="848">
        <v>0</v>
      </c>
    </row>
    <row r="3" spans="2:185" s="2286" customFormat="1" ht="12" hidden="1" customHeight="1">
      <c r="B3" s="849"/>
      <c r="C3" s="850"/>
      <c r="D3" s="850"/>
      <c r="E3" s="850"/>
      <c r="F3" s="850"/>
      <c r="G3" s="850"/>
      <c r="H3" s="850"/>
      <c r="I3" s="850"/>
      <c r="J3" s="850"/>
      <c r="K3" s="850"/>
      <c r="L3" s="850"/>
      <c r="M3" s="850"/>
      <c r="N3" s="850"/>
      <c r="O3" s="850"/>
      <c r="P3" s="850"/>
      <c r="Q3" s="850"/>
      <c r="R3" s="850"/>
      <c r="S3" s="850"/>
      <c r="T3" s="850"/>
      <c r="U3" s="850"/>
      <c r="V3" s="850"/>
      <c r="W3" s="850"/>
      <c r="X3" s="850"/>
      <c r="Y3" s="850"/>
      <c r="Z3" s="850"/>
      <c r="AA3" s="850"/>
      <c r="AB3" s="851"/>
      <c r="AC3" s="850"/>
      <c r="AD3" s="850"/>
      <c r="AE3" s="850"/>
      <c r="AF3" s="850"/>
      <c r="AG3" s="850"/>
      <c r="AH3" s="850"/>
      <c r="AI3" s="850"/>
      <c r="AJ3" s="850"/>
      <c r="AK3" s="850"/>
      <c r="AL3" s="850"/>
      <c r="AM3" s="850"/>
      <c r="AN3" s="850"/>
      <c r="AO3" s="850"/>
      <c r="AP3" s="850"/>
      <c r="AQ3" s="850"/>
      <c r="AR3" s="850"/>
      <c r="AS3" s="850"/>
      <c r="AT3" s="850"/>
      <c r="AU3" s="850"/>
      <c r="AV3" s="850"/>
      <c r="AW3" s="850"/>
      <c r="AX3" s="850"/>
      <c r="AY3" s="850"/>
      <c r="AZ3" s="850"/>
      <c r="BA3" s="850"/>
      <c r="BB3" s="850"/>
      <c r="BC3" s="850"/>
      <c r="BD3" s="850"/>
      <c r="BE3" s="850"/>
      <c r="BF3" s="850"/>
      <c r="BG3" s="850"/>
      <c r="BH3" s="850"/>
      <c r="BI3" s="850"/>
      <c r="BJ3" s="850"/>
      <c r="BK3" s="850"/>
      <c r="BL3" s="850"/>
      <c r="BM3" s="850"/>
      <c r="BN3" s="850"/>
      <c r="BO3" s="850"/>
      <c r="BP3" s="850"/>
      <c r="BQ3" s="850"/>
      <c r="BR3" s="850"/>
      <c r="BS3" s="850"/>
      <c r="BT3" s="850"/>
      <c r="BU3" s="850"/>
      <c r="BV3" s="850"/>
      <c r="BW3" s="850"/>
      <c r="BX3" s="850"/>
      <c r="BY3" s="850"/>
      <c r="BZ3" s="850"/>
      <c r="CA3" s="850"/>
      <c r="CB3" s="850"/>
      <c r="CC3" s="850"/>
      <c r="CD3" s="850"/>
      <c r="CE3" s="850"/>
      <c r="CF3" s="850"/>
      <c r="CG3" s="850"/>
      <c r="CH3" s="850"/>
      <c r="CI3" s="850"/>
      <c r="CJ3" s="850"/>
      <c r="CK3" s="850"/>
      <c r="CL3" s="850"/>
      <c r="CM3" s="850"/>
      <c r="CN3" s="850"/>
      <c r="CO3" s="850"/>
      <c r="CP3" s="850"/>
      <c r="CQ3" s="850"/>
      <c r="CR3" s="850"/>
      <c r="CS3" s="850"/>
      <c r="CT3" s="850"/>
      <c r="CU3" s="850"/>
      <c r="CV3" s="850"/>
      <c r="CW3" s="850"/>
      <c r="CX3" s="850"/>
      <c r="CY3" s="850"/>
      <c r="CZ3" s="850"/>
      <c r="DA3" s="850"/>
      <c r="DB3" s="850"/>
      <c r="DC3" s="850"/>
      <c r="DD3" s="850"/>
      <c r="DE3" s="850"/>
      <c r="DF3" s="850"/>
      <c r="DG3" s="850"/>
      <c r="DH3" s="850"/>
      <c r="DI3" s="850"/>
      <c r="DJ3" s="850"/>
      <c r="DK3" s="850"/>
      <c r="DL3" s="850"/>
      <c r="DM3" s="850"/>
      <c r="DN3" s="850"/>
      <c r="DO3" s="850"/>
      <c r="DP3" s="850"/>
      <c r="DQ3" s="850"/>
      <c r="DR3" s="850"/>
      <c r="DS3" s="850"/>
      <c r="DT3" s="850"/>
      <c r="DU3" s="850"/>
      <c r="DV3" s="850"/>
      <c r="DW3" s="850"/>
      <c r="DX3" s="850"/>
      <c r="DY3" s="850"/>
      <c r="DZ3" s="850"/>
      <c r="EA3" s="850"/>
      <c r="EB3" s="850"/>
      <c r="EC3" s="850"/>
      <c r="ED3" s="850"/>
      <c r="EE3" s="850"/>
      <c r="EF3" s="850"/>
      <c r="EG3" s="850"/>
      <c r="EH3" s="850"/>
      <c r="EI3" s="850"/>
      <c r="EJ3" s="850"/>
      <c r="EK3" s="850"/>
      <c r="EL3" s="850"/>
      <c r="EM3" s="850"/>
      <c r="EN3" s="850"/>
      <c r="EO3" s="850"/>
      <c r="EP3" s="850"/>
      <c r="EQ3" s="850"/>
      <c r="ER3" s="850"/>
      <c r="ES3" s="850"/>
      <c r="ET3" s="850"/>
      <c r="EU3" s="850"/>
      <c r="EV3" s="850"/>
      <c r="EW3" s="850"/>
      <c r="EX3" s="850"/>
      <c r="EY3" s="850"/>
      <c r="EZ3" s="850"/>
      <c r="FA3" s="850"/>
      <c r="FB3" s="850"/>
      <c r="FC3" s="850"/>
      <c r="FD3" s="850"/>
      <c r="FE3" s="850"/>
      <c r="FF3" s="850"/>
      <c r="FG3" s="850"/>
      <c r="FH3" s="850"/>
      <c r="FI3" s="850"/>
      <c r="FJ3" s="850"/>
      <c r="FK3" s="850"/>
      <c r="FL3" s="850"/>
      <c r="FM3" s="850"/>
      <c r="FN3" s="850"/>
      <c r="FO3" s="850"/>
      <c r="FP3" s="850"/>
      <c r="FQ3" s="850"/>
      <c r="FR3" s="850"/>
      <c r="FS3" s="850"/>
      <c r="FT3" s="850"/>
      <c r="FU3" s="850"/>
      <c r="FV3" s="850"/>
      <c r="FW3" s="850"/>
      <c r="GC3" s="848">
        <v>0</v>
      </c>
    </row>
    <row r="4" spans="2:185" ht="10.5" customHeight="1">
      <c r="B4" s="853"/>
      <c r="C4" s="854"/>
      <c r="D4" s="854"/>
      <c r="E4" s="854"/>
      <c r="F4" s="854"/>
      <c r="G4" s="854"/>
      <c r="H4" s="855"/>
      <c r="I4" s="855"/>
      <c r="J4" s="855"/>
      <c r="K4" s="855"/>
      <c r="L4" s="855"/>
      <c r="M4" s="856"/>
      <c r="N4" s="856"/>
      <c r="O4" s="856"/>
      <c r="P4" s="856"/>
      <c r="Q4" s="856"/>
      <c r="R4" s="856"/>
      <c r="S4" s="856"/>
      <c r="T4" s="856"/>
      <c r="U4" s="856"/>
      <c r="V4" s="856"/>
      <c r="W4" s="856"/>
      <c r="X4" s="856"/>
      <c r="Y4" s="856"/>
      <c r="Z4" s="856"/>
      <c r="AA4" s="856"/>
      <c r="AB4" s="856"/>
      <c r="AC4" s="856"/>
      <c r="AD4" s="856"/>
      <c r="AE4" s="856"/>
      <c r="AF4" s="856"/>
      <c r="AG4" s="856"/>
      <c r="AH4" s="856"/>
      <c r="AI4" s="856"/>
      <c r="AJ4" s="856"/>
      <c r="AK4" s="856"/>
      <c r="AL4" s="856"/>
      <c r="AM4" s="856"/>
      <c r="AN4" s="856"/>
      <c r="AO4" s="856"/>
      <c r="AP4" s="856"/>
      <c r="AQ4" s="856"/>
      <c r="AR4" s="856"/>
      <c r="AS4" s="856"/>
      <c r="AT4" s="856"/>
      <c r="AU4" s="856"/>
      <c r="AV4" s="856"/>
      <c r="AW4" s="856"/>
      <c r="AX4" s="856"/>
      <c r="AY4" s="856"/>
      <c r="AZ4" s="856"/>
      <c r="BA4" s="856"/>
      <c r="BB4" s="856"/>
      <c r="BC4" s="856"/>
      <c r="BD4" s="856"/>
      <c r="BE4" s="856"/>
      <c r="BF4" s="856"/>
      <c r="BG4" s="856"/>
      <c r="BH4" s="856"/>
      <c r="BI4" s="856"/>
      <c r="BJ4" s="856"/>
      <c r="BK4" s="856"/>
      <c r="BL4" s="856"/>
      <c r="BM4" s="856"/>
      <c r="BN4" s="856"/>
      <c r="BO4" s="856"/>
      <c r="BP4" s="856"/>
      <c r="BQ4" s="856"/>
      <c r="BR4" s="856"/>
      <c r="BS4" s="856"/>
      <c r="BT4" s="856"/>
      <c r="BU4" s="856"/>
      <c r="BV4" s="856"/>
      <c r="BW4" s="856"/>
      <c r="BX4" s="856"/>
      <c r="BY4" s="856"/>
      <c r="BZ4" s="856"/>
      <c r="CA4" s="856"/>
      <c r="CB4" s="856"/>
      <c r="CC4" s="856"/>
      <c r="CD4" s="856"/>
      <c r="CE4" s="856"/>
      <c r="CF4" s="856"/>
      <c r="CG4" s="856"/>
      <c r="CH4" s="856"/>
      <c r="CI4" s="856"/>
      <c r="CJ4" s="856"/>
      <c r="CK4" s="856"/>
      <c r="CL4" s="856"/>
      <c r="CM4" s="856"/>
      <c r="CN4" s="856"/>
      <c r="CO4" s="856"/>
      <c r="CP4" s="856"/>
      <c r="CQ4" s="856"/>
      <c r="CR4" s="856"/>
      <c r="CS4" s="856"/>
      <c r="CT4" s="856"/>
      <c r="CU4" s="856"/>
      <c r="CV4" s="856"/>
      <c r="CW4" s="856"/>
      <c r="CX4" s="856"/>
      <c r="CY4" s="856"/>
      <c r="CZ4" s="856"/>
      <c r="DA4" s="856"/>
      <c r="DB4" s="856"/>
      <c r="DC4" s="856"/>
      <c r="DD4" s="856"/>
      <c r="DE4" s="856"/>
      <c r="DF4" s="856"/>
      <c r="DG4" s="856"/>
      <c r="DH4" s="856"/>
      <c r="DI4" s="856"/>
      <c r="DJ4" s="856"/>
      <c r="DK4" s="856"/>
      <c r="DL4" s="856"/>
      <c r="DM4" s="856"/>
      <c r="DN4" s="856"/>
      <c r="DO4" s="856"/>
      <c r="DP4" s="856"/>
      <c r="DQ4" s="856"/>
      <c r="DR4" s="856"/>
      <c r="DS4" s="856"/>
      <c r="DT4" s="856"/>
      <c r="DU4" s="856"/>
      <c r="DV4" s="856"/>
      <c r="DW4" s="856"/>
      <c r="DX4" s="856"/>
      <c r="DY4" s="856"/>
      <c r="DZ4" s="856"/>
      <c r="EA4" s="856"/>
      <c r="EB4" s="856"/>
      <c r="EC4" s="856"/>
      <c r="ED4" s="856"/>
      <c r="EE4" s="856"/>
      <c r="EF4" s="856"/>
      <c r="EG4" s="856"/>
      <c r="EH4" s="856"/>
      <c r="EI4" s="856"/>
      <c r="EJ4" s="856"/>
      <c r="EK4" s="856"/>
      <c r="EL4" s="856"/>
      <c r="EM4" s="856"/>
      <c r="EN4" s="856"/>
      <c r="EO4" s="856"/>
      <c r="EP4" s="856"/>
      <c r="EQ4" s="856"/>
      <c r="ER4" s="856"/>
      <c r="ES4" s="856"/>
      <c r="ET4" s="856"/>
      <c r="EU4" s="856"/>
      <c r="EV4" s="856"/>
      <c r="EW4" s="856"/>
      <c r="EX4" s="856"/>
      <c r="EY4" s="856"/>
      <c r="EZ4" s="856"/>
      <c r="FA4" s="856"/>
      <c r="FB4" s="856"/>
      <c r="FC4" s="856"/>
      <c r="FD4" s="856"/>
      <c r="FE4" s="856"/>
      <c r="FF4" s="856"/>
      <c r="FG4" s="856"/>
      <c r="FH4" s="856"/>
      <c r="FI4" s="856"/>
      <c r="FJ4" s="856"/>
      <c r="FK4" s="856"/>
      <c r="FL4" s="856"/>
      <c r="FM4" s="856"/>
      <c r="FN4" s="856"/>
      <c r="FO4" s="856"/>
      <c r="FP4" s="856"/>
      <c r="FQ4" s="856"/>
      <c r="FR4" s="856"/>
      <c r="FS4" s="856"/>
      <c r="FT4" s="856"/>
      <c r="FU4" s="856"/>
      <c r="FV4" s="856"/>
      <c r="FW4" s="856"/>
      <c r="GC4" s="852">
        <v>10</v>
      </c>
    </row>
    <row r="5" spans="2:185" s="2287" customFormat="1" ht="27.4" customHeight="1">
      <c r="B5" s="1788"/>
      <c r="E5" s="1790"/>
      <c r="F5" s="2662"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405"/>
      <c r="H5" s="2405"/>
      <c r="I5" s="2405"/>
      <c r="J5" s="2405"/>
      <c r="K5" s="2405"/>
      <c r="L5" s="2405"/>
      <c r="M5" s="2405"/>
      <c r="N5" s="2405"/>
      <c r="O5" s="2405"/>
      <c r="P5" s="2405"/>
      <c r="Q5" s="2405"/>
      <c r="R5" s="2405"/>
      <c r="S5" s="2405"/>
      <c r="T5" s="2405"/>
      <c r="U5" s="2405"/>
      <c r="V5" s="2405"/>
      <c r="W5" s="2405"/>
      <c r="X5" s="2405"/>
      <c r="Y5" s="2405"/>
      <c r="Z5" s="2405"/>
      <c r="AA5" s="2405"/>
      <c r="AB5" s="2405"/>
      <c r="AC5" s="2405"/>
      <c r="AD5" s="2405"/>
      <c r="AE5" s="2405"/>
      <c r="AF5" s="2405"/>
      <c r="AG5" s="2405"/>
      <c r="AH5" s="2405"/>
      <c r="AI5" s="2405"/>
      <c r="AJ5" s="2405"/>
      <c r="AK5" s="2405"/>
      <c r="AL5" s="2405"/>
      <c r="AM5" s="2405"/>
      <c r="AN5" s="2405"/>
      <c r="AO5" s="2405"/>
      <c r="AP5" s="2405"/>
      <c r="AQ5" s="2405"/>
      <c r="AR5" s="2405"/>
      <c r="AS5" s="2405"/>
      <c r="AT5" s="2405"/>
      <c r="AU5" s="2405"/>
      <c r="AV5" s="2405"/>
      <c r="AW5" s="2405"/>
      <c r="AX5" s="2405"/>
      <c r="AY5" s="2405"/>
      <c r="AZ5" s="2405"/>
      <c r="BA5" s="2405"/>
      <c r="BB5" s="2405"/>
      <c r="BC5" s="2405"/>
      <c r="BD5" s="2405"/>
      <c r="BE5" s="2405"/>
      <c r="BF5" s="2405"/>
      <c r="BG5" s="2405"/>
      <c r="BH5" s="2405"/>
      <c r="BI5" s="2405"/>
      <c r="BJ5" s="2405"/>
      <c r="BK5" s="2405"/>
      <c r="BL5" s="2405"/>
      <c r="BM5" s="2405"/>
      <c r="BN5" s="2405"/>
      <c r="BO5" s="2405"/>
      <c r="BP5" s="2405"/>
      <c r="BQ5" s="2405"/>
      <c r="BR5" s="2405"/>
      <c r="BS5" s="2405"/>
      <c r="GC5" s="1789">
        <v>26</v>
      </c>
    </row>
    <row r="6" spans="2:185" s="2288" customFormat="1" ht="18.75" customHeight="1">
      <c r="B6" s="869"/>
      <c r="E6" s="871"/>
      <c r="F6" s="2447" t="str">
        <f>IF(org=0,"Не определено",org)</f>
        <v>МУП "Водоканал"</v>
      </c>
      <c r="G6" s="2448"/>
      <c r="H6" s="2448"/>
      <c r="I6" s="2448"/>
      <c r="J6" s="2448"/>
      <c r="K6" s="2448"/>
      <c r="L6" s="2448"/>
      <c r="M6" s="2448"/>
      <c r="N6" s="2448"/>
      <c r="O6" s="2448"/>
      <c r="P6" s="2448"/>
      <c r="Q6" s="2448"/>
      <c r="R6" s="2448"/>
      <c r="S6" s="2448"/>
      <c r="T6" s="2448"/>
      <c r="U6" s="2448"/>
      <c r="V6" s="2448"/>
      <c r="W6" s="2448"/>
      <c r="X6" s="2448"/>
      <c r="Y6" s="2448"/>
      <c r="Z6" s="2448"/>
      <c r="AA6" s="2448"/>
      <c r="AB6" s="2448"/>
      <c r="AC6" s="2448"/>
      <c r="AD6" s="2448"/>
      <c r="AE6" s="2448"/>
      <c r="AF6" s="2448"/>
      <c r="AG6" s="2448"/>
      <c r="AH6" s="2448"/>
      <c r="AI6" s="2448"/>
      <c r="AJ6" s="2448"/>
      <c r="AK6" s="2448"/>
      <c r="AL6" s="2448"/>
      <c r="AM6" s="2448"/>
      <c r="AN6" s="2448"/>
      <c r="AO6" s="2448"/>
      <c r="AP6" s="2448"/>
      <c r="AQ6" s="2448"/>
      <c r="AR6" s="2448"/>
      <c r="AS6" s="2448"/>
      <c r="AT6" s="2448"/>
      <c r="AU6" s="2448"/>
      <c r="AV6" s="2448"/>
      <c r="AW6" s="2448"/>
      <c r="AX6" s="2448"/>
      <c r="AY6" s="2448"/>
      <c r="AZ6" s="2448"/>
      <c r="BA6" s="2448"/>
      <c r="BB6" s="2448"/>
      <c r="BC6" s="2448"/>
      <c r="BD6" s="2448"/>
      <c r="BE6" s="2448"/>
      <c r="BF6" s="2448"/>
      <c r="BG6" s="2448"/>
      <c r="BH6" s="2448"/>
      <c r="BI6" s="2448"/>
      <c r="BJ6" s="2448"/>
      <c r="BK6" s="2448"/>
      <c r="BL6" s="2448"/>
      <c r="BM6" s="2448"/>
      <c r="BN6" s="2448"/>
      <c r="BO6" s="2448"/>
      <c r="BP6" s="2448"/>
      <c r="BQ6" s="2448"/>
      <c r="BR6" s="2448"/>
      <c r="BS6" s="2448"/>
      <c r="GC6" s="870">
        <v>18</v>
      </c>
    </row>
    <row r="7" spans="2:185" s="2289" customFormat="1" ht="10.5" customHeight="1">
      <c r="B7" s="858"/>
      <c r="E7" s="859"/>
      <c r="F7" s="859"/>
      <c r="G7" s="861"/>
      <c r="H7" s="855"/>
      <c r="I7" s="855"/>
      <c r="J7" s="855"/>
      <c r="K7" s="855"/>
      <c r="L7" s="855"/>
      <c r="M7" s="859"/>
      <c r="N7" s="859"/>
      <c r="O7" s="859"/>
      <c r="P7" s="859"/>
      <c r="Q7" s="859"/>
      <c r="R7" s="859"/>
      <c r="S7" s="859"/>
      <c r="T7" s="859"/>
      <c r="U7" s="859"/>
      <c r="V7" s="859"/>
      <c r="W7" s="859"/>
      <c r="X7" s="859"/>
      <c r="Y7" s="859"/>
      <c r="Z7" s="859"/>
      <c r="AA7" s="859"/>
      <c r="AB7" s="859"/>
      <c r="AC7" s="859"/>
      <c r="AD7" s="859"/>
      <c r="AE7" s="859"/>
      <c r="AF7" s="859"/>
      <c r="AG7" s="859"/>
      <c r="AH7" s="859"/>
      <c r="AI7" s="859"/>
      <c r="AJ7" s="859"/>
      <c r="AK7" s="859"/>
      <c r="AL7" s="859"/>
      <c r="AM7" s="859"/>
      <c r="AN7" s="859"/>
      <c r="AO7" s="859"/>
      <c r="AP7" s="859"/>
      <c r="AQ7" s="859"/>
      <c r="AR7" s="859"/>
      <c r="AS7" s="859"/>
      <c r="AT7" s="859"/>
      <c r="AU7" s="859"/>
      <c r="AV7" s="859"/>
      <c r="AW7" s="859"/>
      <c r="AX7" s="859"/>
      <c r="AY7" s="859"/>
      <c r="AZ7" s="859"/>
      <c r="BA7" s="859"/>
      <c r="BB7" s="859"/>
      <c r="BC7" s="859"/>
      <c r="BD7" s="859"/>
      <c r="BE7" s="859"/>
      <c r="BF7" s="859"/>
      <c r="BG7" s="859"/>
      <c r="BH7" s="859"/>
      <c r="BI7" s="859"/>
      <c r="BJ7" s="859"/>
      <c r="BK7" s="859"/>
      <c r="BL7" s="859"/>
      <c r="BM7" s="859"/>
      <c r="BN7" s="859"/>
      <c r="BO7" s="859"/>
      <c r="BP7" s="859"/>
      <c r="BQ7" s="859"/>
      <c r="BR7" s="859"/>
      <c r="BS7" s="859"/>
      <c r="BT7" s="859"/>
      <c r="BU7" s="859"/>
      <c r="BV7" s="859"/>
      <c r="BW7" s="859"/>
      <c r="BX7" s="859"/>
      <c r="BY7" s="859"/>
      <c r="BZ7" s="859"/>
      <c r="CA7" s="859"/>
      <c r="CB7" s="859"/>
      <c r="CC7" s="859"/>
      <c r="CD7" s="859"/>
      <c r="CE7" s="859"/>
      <c r="CF7" s="859"/>
      <c r="CG7" s="859"/>
      <c r="CH7" s="859"/>
      <c r="CI7" s="859"/>
      <c r="CJ7" s="859"/>
      <c r="CK7" s="859"/>
      <c r="CL7" s="859"/>
      <c r="CM7" s="859"/>
      <c r="CN7" s="859"/>
      <c r="CO7" s="859"/>
      <c r="CP7" s="859"/>
      <c r="CQ7" s="859"/>
      <c r="CR7" s="859"/>
      <c r="CS7" s="859"/>
      <c r="CT7" s="859"/>
      <c r="CU7" s="859"/>
      <c r="CV7" s="859"/>
      <c r="CW7" s="859"/>
      <c r="CX7" s="859"/>
      <c r="CY7" s="859"/>
      <c r="CZ7" s="859"/>
      <c r="DA7" s="859"/>
      <c r="DB7" s="859"/>
      <c r="DC7" s="859"/>
      <c r="DD7" s="859"/>
      <c r="DE7" s="859"/>
      <c r="DF7" s="859"/>
      <c r="DG7" s="859"/>
      <c r="DH7" s="859"/>
      <c r="DI7" s="859"/>
      <c r="DJ7" s="859"/>
      <c r="DK7" s="859"/>
      <c r="DL7" s="859"/>
      <c r="DM7" s="859"/>
      <c r="DN7" s="859"/>
      <c r="DO7" s="859"/>
      <c r="DP7" s="859"/>
      <c r="DQ7" s="859"/>
      <c r="DR7" s="859"/>
      <c r="DS7" s="859"/>
      <c r="DT7" s="859"/>
      <c r="DU7" s="859"/>
      <c r="DV7" s="859"/>
      <c r="DW7" s="859"/>
      <c r="DX7" s="859"/>
      <c r="DY7" s="859"/>
      <c r="DZ7" s="859"/>
      <c r="EA7" s="859"/>
      <c r="EB7" s="859"/>
      <c r="EC7" s="859"/>
      <c r="ED7" s="859"/>
      <c r="EE7" s="859"/>
      <c r="EF7" s="859"/>
      <c r="EG7" s="859"/>
      <c r="EH7" s="859"/>
      <c r="EI7" s="859"/>
      <c r="EJ7" s="859"/>
      <c r="EK7" s="859"/>
      <c r="EL7" s="859"/>
      <c r="EM7" s="859"/>
      <c r="EN7" s="859"/>
      <c r="EO7" s="859"/>
      <c r="EP7" s="859"/>
      <c r="EQ7" s="859"/>
      <c r="ER7" s="859"/>
      <c r="ES7" s="859"/>
      <c r="ET7" s="859"/>
      <c r="EU7" s="859"/>
      <c r="EV7" s="859"/>
      <c r="EW7" s="859"/>
      <c r="EX7" s="859"/>
      <c r="EY7" s="859"/>
      <c r="EZ7" s="859"/>
      <c r="FA7" s="859"/>
      <c r="FB7" s="859"/>
      <c r="FC7" s="859"/>
      <c r="FD7" s="859"/>
      <c r="FE7" s="859"/>
      <c r="FF7" s="859"/>
      <c r="FG7" s="859"/>
      <c r="FH7" s="859"/>
      <c r="FI7" s="859"/>
      <c r="FJ7" s="859"/>
      <c r="FK7" s="859"/>
      <c r="FL7" s="859"/>
      <c r="FM7" s="859"/>
      <c r="FN7" s="859"/>
      <c r="FO7" s="859"/>
      <c r="FP7" s="859"/>
      <c r="FQ7" s="859"/>
      <c r="FR7" s="859"/>
      <c r="FS7" s="859"/>
      <c r="FT7" s="859"/>
      <c r="FU7" s="859"/>
      <c r="FV7" s="859"/>
      <c r="FW7" s="859"/>
      <c r="GC7" s="857">
        <v>10</v>
      </c>
    </row>
    <row r="8" spans="2:185" s="2289" customFormat="1" ht="11.25" hidden="1" customHeight="1">
      <c r="B8" s="860"/>
      <c r="F8" s="980"/>
      <c r="G8" s="698"/>
      <c r="H8" s="297"/>
      <c r="I8" s="297"/>
      <c r="J8" s="297"/>
      <c r="K8" s="297"/>
      <c r="L8" s="297"/>
      <c r="M8" s="980"/>
      <c r="N8" s="980"/>
      <c r="O8" s="2678" t="s">
        <v>1106</v>
      </c>
      <c r="P8" s="2679"/>
      <c r="Q8" s="2679"/>
      <c r="R8" s="2679"/>
      <c r="S8" s="2679"/>
      <c r="T8" s="2679"/>
      <c r="U8" s="2679"/>
      <c r="V8" s="2679"/>
      <c r="W8" s="2679"/>
      <c r="X8" s="2679"/>
      <c r="Y8" s="2679"/>
      <c r="Z8" s="2679"/>
      <c r="AA8" s="2679"/>
      <c r="AB8" s="2679"/>
      <c r="AC8" s="2679"/>
      <c r="AD8" s="2679"/>
      <c r="AE8" s="2679"/>
      <c r="AF8" s="2679"/>
      <c r="AG8" s="2679"/>
      <c r="AH8" s="2679"/>
      <c r="AI8" s="2679"/>
      <c r="AJ8" s="2679"/>
      <c r="AK8" s="2679"/>
      <c r="AL8" s="2679"/>
      <c r="AM8" s="2679"/>
      <c r="AN8" s="2679"/>
      <c r="AO8" s="2679"/>
      <c r="AP8" s="2679"/>
      <c r="AQ8" s="2679"/>
      <c r="AR8" s="2679"/>
      <c r="AS8" s="2679"/>
      <c r="AT8" s="2679"/>
      <c r="AU8" s="2679"/>
      <c r="AV8" s="2679"/>
      <c r="AW8" s="2679"/>
      <c r="AX8" s="2679"/>
      <c r="AY8" s="2679"/>
      <c r="AZ8" s="2679"/>
      <c r="BA8" s="2679"/>
      <c r="BB8" s="2679"/>
      <c r="BC8" s="2679"/>
      <c r="BD8" s="2679"/>
      <c r="BE8" s="2679"/>
      <c r="BF8" s="2679"/>
      <c r="BG8" s="2679"/>
      <c r="BH8" s="2679"/>
      <c r="BI8" s="2679"/>
      <c r="BJ8" s="2679"/>
      <c r="BK8" s="2679"/>
      <c r="BL8" s="2679"/>
      <c r="BM8" s="2679"/>
      <c r="BN8" s="2679"/>
      <c r="BO8" s="2679"/>
      <c r="BP8" s="2679"/>
      <c r="BQ8" s="2679"/>
      <c r="BR8" s="2679"/>
      <c r="BS8" s="2680"/>
      <c r="BT8" s="2667"/>
      <c r="BU8" s="2668"/>
      <c r="BV8" s="2668"/>
      <c r="BW8" s="2668"/>
      <c r="BX8" s="2668"/>
      <c r="BY8" s="2668"/>
      <c r="BZ8" s="2668"/>
      <c r="CA8" s="2668"/>
      <c r="CB8" s="2668"/>
      <c r="CC8" s="2668"/>
      <c r="CD8" s="2668"/>
      <c r="CE8" s="2668"/>
      <c r="CF8" s="2668"/>
      <c r="CG8" s="2668"/>
      <c r="CH8" s="2668"/>
      <c r="CI8" s="2668"/>
      <c r="CJ8" s="2668"/>
      <c r="CK8" s="2668"/>
      <c r="CL8" s="2668"/>
      <c r="CM8" s="2668"/>
      <c r="CN8" s="2668"/>
      <c r="CO8" s="2668"/>
      <c r="CP8" s="2668"/>
      <c r="CQ8" s="2668"/>
      <c r="CR8" s="2668"/>
      <c r="CS8" s="2668"/>
      <c r="CT8" s="2668"/>
      <c r="CU8" s="2668"/>
      <c r="CV8" s="2668"/>
      <c r="CW8" s="2668"/>
      <c r="CX8" s="2669"/>
      <c r="CY8" s="2670"/>
      <c r="CZ8" s="2671"/>
      <c r="DA8" s="2671"/>
      <c r="DB8" s="2671"/>
      <c r="DC8" s="2671"/>
      <c r="DD8" s="2671"/>
      <c r="DE8" s="2671"/>
      <c r="DF8" s="2671"/>
      <c r="DG8" s="2671"/>
      <c r="DH8" s="2671"/>
      <c r="DI8" s="2671"/>
      <c r="DJ8" s="2671"/>
      <c r="DK8" s="2671"/>
      <c r="DL8" s="2671"/>
      <c r="DM8" s="2671"/>
      <c r="DN8" s="2671"/>
      <c r="DO8" s="2671"/>
      <c r="DP8" s="2671"/>
      <c r="DQ8" s="2671"/>
      <c r="DR8" s="2671"/>
      <c r="DS8" s="2671"/>
      <c r="DT8" s="2671"/>
      <c r="DU8" s="2671"/>
      <c r="DV8" s="2671"/>
      <c r="DW8" s="2671"/>
      <c r="DX8" s="2672"/>
      <c r="DY8" s="2673" t="s">
        <v>1107</v>
      </c>
      <c r="DZ8" s="2674"/>
      <c r="EA8" s="2674"/>
      <c r="EB8" s="2674"/>
      <c r="EC8" s="2674"/>
      <c r="ED8" s="2674"/>
      <c r="EE8" s="2674"/>
      <c r="EF8" s="2674"/>
      <c r="EG8" s="2674"/>
      <c r="EH8" s="2674"/>
      <c r="EI8" s="2674"/>
      <c r="EJ8" s="2674"/>
      <c r="EK8" s="2674"/>
      <c r="EL8" s="2674"/>
      <c r="EM8" s="2674"/>
      <c r="EN8" s="2674"/>
      <c r="EO8" s="2674"/>
      <c r="EP8" s="2674"/>
      <c r="EQ8" s="2674"/>
      <c r="ER8" s="2674"/>
      <c r="ES8" s="2674"/>
      <c r="ET8" s="2674"/>
      <c r="EU8" s="2674"/>
      <c r="EV8" s="2674"/>
      <c r="EW8" s="2674"/>
      <c r="EX8" s="2674"/>
      <c r="EY8" s="2674"/>
      <c r="EZ8" s="2674"/>
      <c r="FA8" s="2674"/>
      <c r="FB8" s="2674"/>
      <c r="FC8" s="2674"/>
      <c r="FD8" s="2674"/>
      <c r="FE8" s="2674"/>
      <c r="FF8" s="2674"/>
      <c r="FG8" s="2674"/>
      <c r="FH8" s="2674"/>
      <c r="FI8" s="2674"/>
      <c r="FJ8" s="2674"/>
      <c r="FK8" s="2674"/>
      <c r="FL8" s="2674"/>
      <c r="FM8" s="2674"/>
      <c r="FN8" s="2674"/>
      <c r="FO8" s="2674"/>
      <c r="FP8" s="2674"/>
      <c r="FQ8" s="2674"/>
      <c r="FR8" s="2674"/>
      <c r="FS8" s="2674"/>
      <c r="FT8" s="2674"/>
      <c r="FU8" s="2674"/>
      <c r="FV8" s="2674"/>
      <c r="FW8" s="2675"/>
      <c r="FX8" s="980"/>
      <c r="GC8" s="859">
        <v>0</v>
      </c>
    </row>
    <row r="9" spans="2:185" s="2289" customFormat="1" ht="11.25" hidden="1" customHeight="1">
      <c r="B9" s="860"/>
      <c r="F9" s="980"/>
      <c r="G9" s="698"/>
      <c r="H9" s="297"/>
      <c r="I9" s="297"/>
      <c r="J9" s="297"/>
      <c r="K9" s="297"/>
      <c r="L9" s="297"/>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0"/>
      <c r="AL9" s="980"/>
      <c r="AM9" s="980"/>
      <c r="AN9" s="980"/>
      <c r="AO9" s="980"/>
      <c r="AP9" s="980"/>
      <c r="AQ9" s="980"/>
      <c r="AR9" s="980"/>
      <c r="AS9" s="980"/>
      <c r="AT9" s="980"/>
      <c r="AU9" s="980"/>
      <c r="AV9" s="980"/>
      <c r="AW9" s="980"/>
      <c r="AX9" s="980"/>
      <c r="AY9" s="980"/>
      <c r="AZ9" s="980"/>
      <c r="BA9" s="980"/>
      <c r="BB9" s="980"/>
      <c r="BC9" s="980"/>
      <c r="BD9" s="980"/>
      <c r="BE9" s="980"/>
      <c r="BF9" s="980"/>
      <c r="BG9" s="980"/>
      <c r="BH9" s="980"/>
      <c r="BI9" s="980"/>
      <c r="BJ9" s="980"/>
      <c r="BK9" s="980"/>
      <c r="BL9" s="980"/>
      <c r="BM9" s="980"/>
      <c r="BN9" s="980"/>
      <c r="BO9" s="980"/>
      <c r="BP9" s="980"/>
      <c r="BQ9" s="980"/>
      <c r="BR9" s="980"/>
      <c r="BS9" s="980"/>
      <c r="BT9" s="980"/>
      <c r="BU9" s="980"/>
      <c r="BV9" s="980"/>
      <c r="BW9" s="980"/>
      <c r="BX9" s="980"/>
      <c r="BY9" s="980"/>
      <c r="BZ9" s="980"/>
      <c r="CA9" s="980"/>
      <c r="CB9" s="980"/>
      <c r="CC9" s="980"/>
      <c r="CD9" s="980"/>
      <c r="CE9" s="980"/>
      <c r="CF9" s="980"/>
      <c r="CG9" s="980"/>
      <c r="CH9" s="980"/>
      <c r="CI9" s="980"/>
      <c r="CJ9" s="980"/>
      <c r="CK9" s="980"/>
      <c r="CL9" s="980"/>
      <c r="CM9" s="980"/>
      <c r="CN9" s="980"/>
      <c r="CO9" s="980"/>
      <c r="CP9" s="980"/>
      <c r="CQ9" s="980"/>
      <c r="CR9" s="980"/>
      <c r="CS9" s="980"/>
      <c r="CT9" s="980"/>
      <c r="CU9" s="980"/>
      <c r="CV9" s="980"/>
      <c r="CW9" s="980"/>
      <c r="CX9" s="980"/>
      <c r="CY9" s="980"/>
      <c r="CZ9" s="980"/>
      <c r="DA9" s="980"/>
      <c r="DB9" s="980"/>
      <c r="DC9" s="980"/>
      <c r="DD9" s="980"/>
      <c r="DE9" s="980"/>
      <c r="DF9" s="980"/>
      <c r="DG9" s="980"/>
      <c r="DH9" s="980"/>
      <c r="DI9" s="980"/>
      <c r="DJ9" s="980"/>
      <c r="DK9" s="980"/>
      <c r="DL9" s="980"/>
      <c r="DM9" s="980"/>
      <c r="DN9" s="980"/>
      <c r="DO9" s="980"/>
      <c r="DP9" s="980"/>
      <c r="DQ9" s="980"/>
      <c r="DR9" s="980"/>
      <c r="DS9" s="980"/>
      <c r="DT9" s="980"/>
      <c r="DU9" s="980"/>
      <c r="DV9" s="980"/>
      <c r="DW9" s="980"/>
      <c r="DX9" s="980"/>
      <c r="DY9" s="980"/>
      <c r="DZ9" s="980"/>
      <c r="EA9" s="980"/>
      <c r="EB9" s="980"/>
      <c r="EC9" s="980"/>
      <c r="ED9" s="980"/>
      <c r="EE9" s="980"/>
      <c r="EF9" s="980"/>
      <c r="EG9" s="980"/>
      <c r="EH9" s="980"/>
      <c r="EI9" s="980"/>
      <c r="EJ9" s="980"/>
      <c r="EK9" s="980"/>
      <c r="EL9" s="980"/>
      <c r="EM9" s="980"/>
      <c r="EN9" s="980"/>
      <c r="EO9" s="980"/>
      <c r="EP9" s="980"/>
      <c r="EQ9" s="980"/>
      <c r="ER9" s="980"/>
      <c r="ES9" s="980"/>
      <c r="ET9" s="980"/>
      <c r="EU9" s="980"/>
      <c r="EV9" s="980"/>
      <c r="EW9" s="980"/>
      <c r="EX9" s="980"/>
      <c r="EY9" s="980"/>
      <c r="EZ9" s="980"/>
      <c r="FA9" s="980"/>
      <c r="FB9" s="980"/>
      <c r="FC9" s="980"/>
      <c r="FD9" s="980"/>
      <c r="FE9" s="980"/>
      <c r="FF9" s="980"/>
      <c r="FG9" s="980"/>
      <c r="FH9" s="980"/>
      <c r="FI9" s="980"/>
      <c r="FJ9" s="980"/>
      <c r="FK9" s="980"/>
      <c r="FL9" s="980"/>
      <c r="FM9" s="980"/>
      <c r="FN9" s="980"/>
      <c r="FO9" s="980"/>
      <c r="FP9" s="980"/>
      <c r="FQ9" s="980"/>
      <c r="FR9" s="980"/>
      <c r="FS9" s="980"/>
      <c r="FT9" s="980"/>
      <c r="FU9" s="980"/>
      <c r="FV9" s="980"/>
      <c r="FW9" s="2676"/>
      <c r="FX9" s="980"/>
      <c r="GC9" s="859">
        <v>0</v>
      </c>
    </row>
    <row r="10" spans="2:185" s="2289" customFormat="1" ht="11.45" customHeight="1">
      <c r="B10" s="860"/>
      <c r="F10" s="2598" t="s">
        <v>298</v>
      </c>
      <c r="G10" s="2661"/>
      <c r="H10" s="2661"/>
      <c r="I10" s="2661"/>
      <c r="J10" s="2661"/>
      <c r="K10" s="2661"/>
      <c r="L10" s="2661"/>
      <c r="M10" s="2661"/>
      <c r="N10" s="2661"/>
      <c r="O10" s="2661"/>
      <c r="P10" s="2661"/>
      <c r="Q10" s="2661"/>
      <c r="R10" s="2661"/>
      <c r="S10" s="2661"/>
      <c r="T10" s="2661"/>
      <c r="U10" s="2661"/>
      <c r="V10" s="2661"/>
      <c r="W10" s="2661"/>
      <c r="X10" s="2661"/>
      <c r="Y10" s="2661"/>
      <c r="Z10" s="2661"/>
      <c r="AA10" s="2661"/>
      <c r="AB10" s="2661"/>
      <c r="AC10" s="2661"/>
      <c r="AD10" s="2661"/>
      <c r="AE10" s="2661"/>
      <c r="AF10" s="2661"/>
      <c r="AG10" s="2661"/>
      <c r="AH10" s="2661"/>
      <c r="AI10" s="2661"/>
      <c r="AJ10" s="2661"/>
      <c r="AK10" s="2661"/>
      <c r="AL10" s="2661"/>
      <c r="AM10" s="2661"/>
      <c r="AN10" s="2661"/>
      <c r="AO10" s="2661"/>
      <c r="AP10" s="2661"/>
      <c r="AQ10" s="2661"/>
      <c r="AR10" s="2661"/>
      <c r="AS10" s="2661"/>
      <c r="AT10" s="2661"/>
      <c r="AU10" s="2661"/>
      <c r="AV10" s="2661"/>
      <c r="AW10" s="2661"/>
      <c r="AX10" s="2661"/>
      <c r="AY10" s="2661"/>
      <c r="AZ10" s="2661"/>
      <c r="BA10" s="2661"/>
      <c r="BB10" s="2661"/>
      <c r="BC10" s="2661"/>
      <c r="BD10" s="2661"/>
      <c r="BE10" s="2661"/>
      <c r="BF10" s="2661"/>
      <c r="BG10" s="2661"/>
      <c r="BH10" s="2661"/>
      <c r="BI10" s="2661"/>
      <c r="BJ10" s="2661"/>
      <c r="BK10" s="2661"/>
      <c r="BL10" s="2661"/>
      <c r="BM10" s="2661"/>
      <c r="BN10" s="2661"/>
      <c r="BO10" s="2661"/>
      <c r="BP10" s="2661"/>
      <c r="BQ10" s="2661"/>
      <c r="BR10" s="2661"/>
      <c r="BS10" s="2661"/>
      <c r="BT10" s="2661"/>
      <c r="BU10" s="2661"/>
      <c r="BV10" s="2661"/>
      <c r="BW10" s="2661"/>
      <c r="BX10" s="2661"/>
      <c r="BY10" s="2661"/>
      <c r="BZ10" s="2661"/>
      <c r="CA10" s="2661"/>
      <c r="CB10" s="2661"/>
      <c r="CC10" s="2661"/>
      <c r="CD10" s="2661"/>
      <c r="CE10" s="2661"/>
      <c r="CF10" s="2661"/>
      <c r="CG10" s="2661"/>
      <c r="CH10" s="2661"/>
      <c r="CI10" s="2661"/>
      <c r="CJ10" s="2661"/>
      <c r="CK10" s="2661"/>
      <c r="CL10" s="2661"/>
      <c r="CM10" s="2661"/>
      <c r="CN10" s="2661"/>
      <c r="CO10" s="2661"/>
      <c r="CP10" s="2661"/>
      <c r="CQ10" s="2661"/>
      <c r="CR10" s="2661"/>
      <c r="CS10" s="2661"/>
      <c r="CT10" s="2661"/>
      <c r="CU10" s="2661"/>
      <c r="CV10" s="2661"/>
      <c r="CW10" s="2661"/>
      <c r="CX10" s="2661"/>
      <c r="CY10" s="2661"/>
      <c r="CZ10" s="2661"/>
      <c r="DA10" s="2661"/>
      <c r="DB10" s="2661"/>
      <c r="DC10" s="2661"/>
      <c r="DD10" s="2661"/>
      <c r="DE10" s="2661"/>
      <c r="DF10" s="2661"/>
      <c r="DG10" s="2661"/>
      <c r="DH10" s="2661"/>
      <c r="DI10" s="2661"/>
      <c r="DJ10" s="2661"/>
      <c r="DK10" s="2661"/>
      <c r="DL10" s="2661"/>
      <c r="DM10" s="2661"/>
      <c r="DN10" s="2661"/>
      <c r="DO10" s="2661"/>
      <c r="DP10" s="2661"/>
      <c r="DQ10" s="2661"/>
      <c r="DR10" s="2661"/>
      <c r="DS10" s="2661"/>
      <c r="DT10" s="2661"/>
      <c r="DU10" s="2661"/>
      <c r="DV10" s="2661"/>
      <c r="DW10" s="2661"/>
      <c r="DX10" s="2661"/>
      <c r="DY10" s="2661"/>
      <c r="DZ10" s="2661"/>
      <c r="EA10" s="2661"/>
      <c r="EB10" s="2661"/>
      <c r="EC10" s="2661"/>
      <c r="ED10" s="2661"/>
      <c r="EE10" s="2661"/>
      <c r="EF10" s="2661"/>
      <c r="EG10" s="2661"/>
      <c r="EH10" s="2661"/>
      <c r="EI10" s="2661"/>
      <c r="EJ10" s="2661"/>
      <c r="EK10" s="2661"/>
      <c r="EL10" s="2661"/>
      <c r="EM10" s="2661"/>
      <c r="EN10" s="2661"/>
      <c r="EO10" s="2661"/>
      <c r="EP10" s="2661"/>
      <c r="EQ10" s="2661"/>
      <c r="ER10" s="2661"/>
      <c r="ES10" s="2661"/>
      <c r="ET10" s="2661"/>
      <c r="EU10" s="2661"/>
      <c r="EV10" s="2661"/>
      <c r="EW10" s="2661"/>
      <c r="EX10" s="2661"/>
      <c r="EY10" s="2661"/>
      <c r="EZ10" s="2661"/>
      <c r="FA10" s="2661"/>
      <c r="FB10" s="2661"/>
      <c r="FC10" s="2661"/>
      <c r="FD10" s="2661"/>
      <c r="FE10" s="2661"/>
      <c r="FF10" s="2661"/>
      <c r="FG10" s="2661"/>
      <c r="FH10" s="2661"/>
      <c r="FI10" s="2661"/>
      <c r="FJ10" s="2661"/>
      <c r="FK10" s="2661"/>
      <c r="FL10" s="2661"/>
      <c r="FM10" s="2661"/>
      <c r="FN10" s="2661"/>
      <c r="FO10" s="2661"/>
      <c r="FP10" s="2661"/>
      <c r="FQ10" s="2661"/>
      <c r="FR10" s="2661"/>
      <c r="FS10" s="2661"/>
      <c r="FT10" s="2661"/>
      <c r="FU10" s="2661"/>
      <c r="FV10" s="2633"/>
      <c r="FW10" s="2676"/>
      <c r="FX10" s="980"/>
      <c r="GC10" s="859">
        <v>11</v>
      </c>
    </row>
    <row r="11" spans="2:185" ht="12.75" customHeight="1">
      <c r="E11" s="863"/>
      <c r="F11" s="2438" t="s">
        <v>87</v>
      </c>
      <c r="G11" s="2438" t="s">
        <v>1108</v>
      </c>
      <c r="H11" s="2438" t="s">
        <v>1109</v>
      </c>
      <c r="I11" s="2438" t="s">
        <v>1110</v>
      </c>
      <c r="J11" s="2666"/>
      <c r="K11" s="2666"/>
      <c r="L11" s="2666"/>
      <c r="M11" s="2666"/>
      <c r="N11" s="2666"/>
      <c r="O11" s="2442" t="s">
        <v>1111</v>
      </c>
      <c r="P11" s="2442"/>
      <c r="Q11" s="2442"/>
      <c r="R11" s="2442"/>
      <c r="S11" s="2442"/>
      <c r="T11" s="2442"/>
      <c r="U11" s="2442"/>
      <c r="V11" s="2442"/>
      <c r="W11" s="2442"/>
      <c r="X11" s="2442"/>
      <c r="Y11" s="2442"/>
      <c r="Z11" s="2442"/>
      <c r="AA11" s="2442"/>
      <c r="AB11" s="2442"/>
      <c r="AC11" s="2664"/>
      <c r="AD11" s="2664"/>
      <c r="AE11" s="2664"/>
      <c r="AF11" s="2664"/>
      <c r="AG11" s="2664"/>
      <c r="AH11" s="2664"/>
      <c r="AI11" s="2664"/>
      <c r="AJ11" s="2664"/>
      <c r="AK11" s="2664"/>
      <c r="AL11" s="2664"/>
      <c r="AM11" s="2664"/>
      <c r="AN11" s="2664"/>
      <c r="AO11" s="2664"/>
      <c r="AP11" s="2664"/>
      <c r="AQ11" s="2664"/>
      <c r="AR11" s="2664"/>
      <c r="AS11" s="2664"/>
      <c r="AT11" s="2664"/>
      <c r="AU11" s="2664"/>
      <c r="AV11" s="2664"/>
      <c r="AW11" s="2664"/>
      <c r="AX11" s="2664"/>
      <c r="AY11" s="2664"/>
      <c r="AZ11" s="2664"/>
      <c r="BA11" s="2664"/>
      <c r="BB11" s="2664"/>
      <c r="BC11" s="2664"/>
      <c r="BD11" s="2664"/>
      <c r="BE11" s="2664"/>
      <c r="BF11" s="2664"/>
      <c r="BG11" s="2664"/>
      <c r="BH11" s="2664"/>
      <c r="BI11" s="2664"/>
      <c r="BJ11" s="2664"/>
      <c r="BK11" s="2664"/>
      <c r="BL11" s="2664"/>
      <c r="BM11" s="2664"/>
      <c r="BN11" s="2664"/>
      <c r="BO11" s="2664"/>
      <c r="BP11" s="2664"/>
      <c r="BQ11" s="2664"/>
      <c r="BR11" s="2664"/>
      <c r="BS11" s="2681"/>
      <c r="BT11" s="2582" t="s">
        <v>1111</v>
      </c>
      <c r="BU11" s="2583"/>
      <c r="BV11" s="2583"/>
      <c r="BW11" s="2583"/>
      <c r="BX11" s="2583"/>
      <c r="BY11" s="2583"/>
      <c r="BZ11" s="2583"/>
      <c r="CA11" s="2583"/>
      <c r="CB11" s="2583"/>
      <c r="CC11" s="2583"/>
      <c r="CD11" s="2583"/>
      <c r="CE11" s="2583"/>
      <c r="CF11" s="2583"/>
      <c r="CG11" s="2583"/>
      <c r="CH11" s="2583"/>
      <c r="CI11" s="2583"/>
      <c r="CJ11" s="2583"/>
      <c r="CK11" s="2663"/>
      <c r="CL11" s="2665"/>
      <c r="CM11" s="2664"/>
      <c r="CN11" s="2664"/>
      <c r="CO11" s="2664"/>
      <c r="CP11" s="2664"/>
      <c r="CQ11" s="2664"/>
      <c r="CR11" s="2664"/>
      <c r="CS11" s="2664"/>
      <c r="CT11" s="2664"/>
      <c r="CU11" s="2664"/>
      <c r="CV11" s="2664"/>
      <c r="CW11" s="2664"/>
      <c r="CX11" s="2681"/>
      <c r="CY11" s="2582" t="s">
        <v>1111</v>
      </c>
      <c r="CZ11" s="2583"/>
      <c r="DA11" s="2583"/>
      <c r="DB11" s="2583"/>
      <c r="DC11" s="2583"/>
      <c r="DD11" s="2583"/>
      <c r="DE11" s="2583"/>
      <c r="DF11" s="2583"/>
      <c r="DG11" s="2583"/>
      <c r="DH11" s="2583"/>
      <c r="DI11" s="2583"/>
      <c r="DJ11" s="2663"/>
      <c r="DK11" s="2665"/>
      <c r="DL11" s="2664"/>
      <c r="DM11" s="2664"/>
      <c r="DN11" s="2664"/>
      <c r="DO11" s="2664"/>
      <c r="DP11" s="2664"/>
      <c r="DQ11" s="2664"/>
      <c r="DR11" s="2664"/>
      <c r="DS11" s="2664"/>
      <c r="DT11" s="2664"/>
      <c r="DU11" s="2664"/>
      <c r="DV11" s="2664"/>
      <c r="DW11" s="2664"/>
      <c r="DX11" s="2664"/>
      <c r="DY11" s="2664"/>
      <c r="DZ11" s="2664"/>
      <c r="EA11" s="2664"/>
      <c r="EB11" s="2664"/>
      <c r="EC11" s="2664"/>
      <c r="ED11" s="2664"/>
      <c r="EE11" s="2664"/>
      <c r="EF11" s="2664"/>
      <c r="EG11" s="2664"/>
      <c r="EH11" s="2664"/>
      <c r="EI11" s="2664"/>
      <c r="EJ11" s="2664"/>
      <c r="EK11" s="2664"/>
      <c r="EL11" s="2664"/>
      <c r="EM11" s="2664"/>
      <c r="EN11" s="2664"/>
      <c r="EO11" s="2664"/>
      <c r="EP11" s="2664"/>
      <c r="EQ11" s="2664"/>
      <c r="ER11" s="2664"/>
      <c r="ES11" s="2664"/>
      <c r="ET11" s="2664"/>
      <c r="EU11" s="2664"/>
      <c r="EV11" s="2664"/>
      <c r="EW11" s="2664"/>
      <c r="EX11" s="2664"/>
      <c r="EY11" s="2664"/>
      <c r="EZ11" s="2664"/>
      <c r="FA11" s="2664"/>
      <c r="FB11" s="2664"/>
      <c r="FC11" s="2664"/>
      <c r="FD11" s="2664"/>
      <c r="FE11" s="2664"/>
      <c r="FF11" s="2664"/>
      <c r="FG11" s="2664"/>
      <c r="FH11" s="2664"/>
      <c r="FI11" s="2664"/>
      <c r="FJ11" s="2664"/>
      <c r="FK11" s="2664"/>
      <c r="FL11" s="2664"/>
      <c r="FM11" s="2664"/>
      <c r="FN11" s="2664"/>
      <c r="FO11" s="2664"/>
      <c r="FP11" s="2664"/>
      <c r="FQ11" s="2664"/>
      <c r="FR11" s="2664"/>
      <c r="FS11" s="2664"/>
      <c r="FT11" s="2664"/>
      <c r="FU11" s="2664"/>
      <c r="FV11" s="2664"/>
      <c r="FW11" s="2676"/>
      <c r="FX11" s="697"/>
      <c r="GC11" s="852">
        <v>12</v>
      </c>
    </row>
    <row r="12" spans="2:185" ht="12.75" customHeight="1">
      <c r="D12" s="864"/>
      <c r="E12" s="863"/>
      <c r="F12" s="2438"/>
      <c r="G12" s="2438"/>
      <c r="H12" s="2438"/>
      <c r="I12" s="2438"/>
      <c r="J12" s="2666"/>
      <c r="K12" s="2666"/>
      <c r="L12" s="2666"/>
      <c r="M12" s="2666"/>
      <c r="N12" s="2666"/>
      <c r="O12" s="2442" t="s">
        <v>1112</v>
      </c>
      <c r="P12" s="2442"/>
      <c r="Q12" s="2442"/>
      <c r="R12" s="2442"/>
      <c r="S12" s="2442" t="s">
        <v>1113</v>
      </c>
      <c r="T12" s="2442"/>
      <c r="U12" s="2442"/>
      <c r="V12" s="2442"/>
      <c r="W12" s="2442"/>
      <c r="X12" s="2442"/>
      <c r="Y12" s="2442"/>
      <c r="Z12" s="2442"/>
      <c r="AA12" s="2442"/>
      <c r="AB12" s="2442"/>
      <c r="AC12" s="2664"/>
      <c r="AD12" s="2664"/>
      <c r="AE12" s="2664"/>
      <c r="AF12" s="2664"/>
      <c r="AG12" s="2664"/>
      <c r="AH12" s="2664"/>
      <c r="AI12" s="2664"/>
      <c r="AJ12" s="2664"/>
      <c r="AK12" s="2664"/>
      <c r="AL12" s="2664"/>
      <c r="AM12" s="2664"/>
      <c r="AN12" s="2664"/>
      <c r="AO12" s="2664"/>
      <c r="AP12" s="2664"/>
      <c r="AQ12" s="2664"/>
      <c r="AR12" s="2664"/>
      <c r="AS12" s="2664"/>
      <c r="AT12" s="2664"/>
      <c r="AU12" s="2664"/>
      <c r="AV12" s="2664"/>
      <c r="AW12" s="2664"/>
      <c r="AX12" s="2664"/>
      <c r="AY12" s="2664"/>
      <c r="AZ12" s="2664"/>
      <c r="BA12" s="2664"/>
      <c r="BB12" s="2664"/>
      <c r="BC12" s="2664"/>
      <c r="BD12" s="2664"/>
      <c r="BE12" s="2664"/>
      <c r="BF12" s="2664"/>
      <c r="BG12" s="2664"/>
      <c r="BH12" s="2664"/>
      <c r="BI12" s="2664"/>
      <c r="BJ12" s="2664"/>
      <c r="BK12" s="2664"/>
      <c r="BL12" s="2664"/>
      <c r="BM12" s="2664"/>
      <c r="BN12" s="2664"/>
      <c r="BO12" s="2664"/>
      <c r="BP12" s="2664"/>
      <c r="BQ12" s="2664"/>
      <c r="BR12" s="2664"/>
      <c r="BS12" s="2681"/>
      <c r="BT12" s="2582" t="s">
        <v>1114</v>
      </c>
      <c r="BU12" s="2583"/>
      <c r="BV12" s="2583"/>
      <c r="BW12" s="2663"/>
      <c r="BX12" s="2582" t="s">
        <v>1115</v>
      </c>
      <c r="BY12" s="2583"/>
      <c r="BZ12" s="2583"/>
      <c r="CA12" s="2663"/>
      <c r="CB12" s="2582" t="s">
        <v>1116</v>
      </c>
      <c r="CC12" s="2663"/>
      <c r="CD12" s="2582" t="s">
        <v>1117</v>
      </c>
      <c r="CE12" s="2583"/>
      <c r="CF12" s="2583"/>
      <c r="CG12" s="2583"/>
      <c r="CH12" s="2583"/>
      <c r="CI12" s="2583"/>
      <c r="CJ12" s="2583"/>
      <c r="CK12" s="2663"/>
      <c r="CL12" s="2665"/>
      <c r="CM12" s="2664"/>
      <c r="CN12" s="2664"/>
      <c r="CO12" s="2664"/>
      <c r="CP12" s="2664"/>
      <c r="CQ12" s="2664"/>
      <c r="CR12" s="2664"/>
      <c r="CS12" s="2664"/>
      <c r="CT12" s="2664"/>
      <c r="CU12" s="2664"/>
      <c r="CV12" s="2664"/>
      <c r="CW12" s="2664"/>
      <c r="CX12" s="2681"/>
      <c r="CY12" s="2582" t="s">
        <v>1118</v>
      </c>
      <c r="CZ12" s="2583"/>
      <c r="DA12" s="2583"/>
      <c r="DB12" s="2583"/>
      <c r="DC12" s="2583"/>
      <c r="DD12" s="2663"/>
      <c r="DE12" s="2582" t="s">
        <v>1119</v>
      </c>
      <c r="DF12" s="2663"/>
      <c r="DG12" s="2582" t="s">
        <v>1117</v>
      </c>
      <c r="DH12" s="2583"/>
      <c r="DI12" s="2583"/>
      <c r="DJ12" s="2663"/>
      <c r="DK12" s="2665"/>
      <c r="DL12" s="2664"/>
      <c r="DM12" s="2664"/>
      <c r="DN12" s="2664"/>
      <c r="DO12" s="2664"/>
      <c r="DP12" s="2664"/>
      <c r="DQ12" s="2664"/>
      <c r="DR12" s="2664"/>
      <c r="DS12" s="2664"/>
      <c r="DT12" s="2664"/>
      <c r="DU12" s="2664"/>
      <c r="DV12" s="2664"/>
      <c r="DW12" s="2664"/>
      <c r="DX12" s="2664"/>
      <c r="DY12" s="2664"/>
      <c r="DZ12" s="2664"/>
      <c r="EA12" s="2664"/>
      <c r="EB12" s="2664"/>
      <c r="EC12" s="2664"/>
      <c r="ED12" s="2664"/>
      <c r="EE12" s="2664"/>
      <c r="EF12" s="2664"/>
      <c r="EG12" s="2664"/>
      <c r="EH12" s="2664"/>
      <c r="EI12" s="2664"/>
      <c r="EJ12" s="2664"/>
      <c r="EK12" s="2664"/>
      <c r="EL12" s="2664"/>
      <c r="EM12" s="2664"/>
      <c r="EN12" s="2664"/>
      <c r="EO12" s="2664"/>
      <c r="EP12" s="2664"/>
      <c r="EQ12" s="2664"/>
      <c r="ER12" s="2664"/>
      <c r="ES12" s="2664"/>
      <c r="ET12" s="2664"/>
      <c r="EU12" s="2664"/>
      <c r="EV12" s="2664"/>
      <c r="EW12" s="2664"/>
      <c r="EX12" s="2664"/>
      <c r="EY12" s="2664"/>
      <c r="EZ12" s="2664"/>
      <c r="FA12" s="2664"/>
      <c r="FB12" s="2664"/>
      <c r="FC12" s="2664"/>
      <c r="FD12" s="2664"/>
      <c r="FE12" s="2664"/>
      <c r="FF12" s="2664"/>
      <c r="FG12" s="2664"/>
      <c r="FH12" s="2664"/>
      <c r="FI12" s="2664"/>
      <c r="FJ12" s="2664"/>
      <c r="FK12" s="2664"/>
      <c r="FL12" s="2664"/>
      <c r="FM12" s="2664"/>
      <c r="FN12" s="2664"/>
      <c r="FO12" s="2664"/>
      <c r="FP12" s="2664"/>
      <c r="FQ12" s="2664"/>
      <c r="FR12" s="2664"/>
      <c r="FS12" s="2664"/>
      <c r="FT12" s="2664"/>
      <c r="FU12" s="2664"/>
      <c r="FV12" s="2664"/>
      <c r="FW12" s="2676"/>
      <c r="FX12" s="697"/>
      <c r="GC12" s="852">
        <v>12</v>
      </c>
    </row>
    <row r="13" spans="2:185" ht="37.9" customHeight="1">
      <c r="D13" s="864"/>
      <c r="E13" s="863"/>
      <c r="F13" s="2438"/>
      <c r="G13" s="2438"/>
      <c r="H13" s="2438"/>
      <c r="I13" s="2438"/>
      <c r="J13" s="2666"/>
      <c r="K13" s="2666"/>
      <c r="L13" s="2666"/>
      <c r="M13" s="2666"/>
      <c r="N13" s="2666"/>
      <c r="O13" s="2442" t="s">
        <v>1120</v>
      </c>
      <c r="P13" s="2442"/>
      <c r="Q13" s="2442"/>
      <c r="R13" s="2442"/>
      <c r="S13" s="2536" t="s">
        <v>1121</v>
      </c>
      <c r="T13" s="2584"/>
      <c r="U13" s="2363" t="s">
        <v>1122</v>
      </c>
      <c r="V13" s="2363"/>
      <c r="W13" s="2363"/>
      <c r="X13" s="2363"/>
      <c r="Y13" s="2363" t="s">
        <v>1123</v>
      </c>
      <c r="Z13" s="2363"/>
      <c r="AA13" s="2363"/>
      <c r="AB13" s="2363"/>
      <c r="AC13" s="2664"/>
      <c r="AD13" s="2664"/>
      <c r="AE13" s="2664"/>
      <c r="AF13" s="2664"/>
      <c r="AG13" s="2664"/>
      <c r="AH13" s="2664"/>
      <c r="AI13" s="2664"/>
      <c r="AJ13" s="2664"/>
      <c r="AK13" s="2664"/>
      <c r="AL13" s="2664"/>
      <c r="AM13" s="2664"/>
      <c r="AN13" s="2664"/>
      <c r="AO13" s="2664"/>
      <c r="AP13" s="2664"/>
      <c r="AQ13" s="2664"/>
      <c r="AR13" s="2664"/>
      <c r="AS13" s="2664"/>
      <c r="AT13" s="2664"/>
      <c r="AU13" s="2664"/>
      <c r="AV13" s="2664"/>
      <c r="AW13" s="2664"/>
      <c r="AX13" s="2664"/>
      <c r="AY13" s="2664"/>
      <c r="AZ13" s="2664"/>
      <c r="BA13" s="2664"/>
      <c r="BB13" s="2664"/>
      <c r="BC13" s="2664"/>
      <c r="BD13" s="2664"/>
      <c r="BE13" s="2664"/>
      <c r="BF13" s="2664"/>
      <c r="BG13" s="2664"/>
      <c r="BH13" s="2664"/>
      <c r="BI13" s="2664"/>
      <c r="BJ13" s="2664"/>
      <c r="BK13" s="2664"/>
      <c r="BL13" s="2664"/>
      <c r="BM13" s="2664"/>
      <c r="BN13" s="2664"/>
      <c r="BO13" s="2664"/>
      <c r="BP13" s="2664"/>
      <c r="BQ13" s="2664"/>
      <c r="BR13" s="2664"/>
      <c r="BS13" s="2681"/>
      <c r="BT13" s="2536" t="s">
        <v>1124</v>
      </c>
      <c r="BU13" s="2584"/>
      <c r="BV13" s="2536" t="s">
        <v>1125</v>
      </c>
      <c r="BW13" s="2584"/>
      <c r="BX13" s="2536" t="s">
        <v>1126</v>
      </c>
      <c r="BY13" s="2584"/>
      <c r="BZ13" s="2536" t="s">
        <v>1127</v>
      </c>
      <c r="CA13" s="2584"/>
      <c r="CB13" s="2536" t="s">
        <v>1128</v>
      </c>
      <c r="CC13" s="2584"/>
      <c r="CD13" s="2536" t="s">
        <v>1129</v>
      </c>
      <c r="CE13" s="2584"/>
      <c r="CF13" s="2536" t="s">
        <v>1130</v>
      </c>
      <c r="CG13" s="2584"/>
      <c r="CH13" s="2582" t="s">
        <v>1131</v>
      </c>
      <c r="CI13" s="2583"/>
      <c r="CJ13" s="2583"/>
      <c r="CK13" s="2663"/>
      <c r="CL13" s="2665"/>
      <c r="CM13" s="2664"/>
      <c r="CN13" s="2664"/>
      <c r="CO13" s="2664"/>
      <c r="CP13" s="2664"/>
      <c r="CQ13" s="2664"/>
      <c r="CR13" s="2664"/>
      <c r="CS13" s="2664"/>
      <c r="CT13" s="2664"/>
      <c r="CU13" s="2664"/>
      <c r="CV13" s="2664"/>
      <c r="CW13" s="2664"/>
      <c r="CX13" s="2681"/>
      <c r="CY13" s="2536" t="s">
        <v>1132</v>
      </c>
      <c r="CZ13" s="2584"/>
      <c r="DA13" s="2536" t="s">
        <v>1133</v>
      </c>
      <c r="DB13" s="2584"/>
      <c r="DC13" s="2536" t="s">
        <v>1134</v>
      </c>
      <c r="DD13" s="2584"/>
      <c r="DE13" s="2536" t="s">
        <v>1135</v>
      </c>
      <c r="DF13" s="2584"/>
      <c r="DG13" s="2582" t="s">
        <v>1136</v>
      </c>
      <c r="DH13" s="2583"/>
      <c r="DI13" s="2583"/>
      <c r="DJ13" s="2663"/>
      <c r="DK13" s="2665"/>
      <c r="DL13" s="2664"/>
      <c r="DM13" s="2664"/>
      <c r="DN13" s="2664"/>
      <c r="DO13" s="2664"/>
      <c r="DP13" s="2664"/>
      <c r="DQ13" s="2664"/>
      <c r="DR13" s="2664"/>
      <c r="DS13" s="2664"/>
      <c r="DT13" s="2664"/>
      <c r="DU13" s="2664"/>
      <c r="DV13" s="2664"/>
      <c r="DW13" s="2664"/>
      <c r="DX13" s="2664"/>
      <c r="DY13" s="2664"/>
      <c r="DZ13" s="2664"/>
      <c r="EA13" s="2664"/>
      <c r="EB13" s="2664"/>
      <c r="EC13" s="2664"/>
      <c r="ED13" s="2664"/>
      <c r="EE13" s="2664"/>
      <c r="EF13" s="2664"/>
      <c r="EG13" s="2664"/>
      <c r="EH13" s="2664"/>
      <c r="EI13" s="2664"/>
      <c r="EJ13" s="2664"/>
      <c r="EK13" s="2664"/>
      <c r="EL13" s="2664"/>
      <c r="EM13" s="2664"/>
      <c r="EN13" s="2664"/>
      <c r="EO13" s="2664"/>
      <c r="EP13" s="2664"/>
      <c r="EQ13" s="2664"/>
      <c r="ER13" s="2664"/>
      <c r="ES13" s="2664"/>
      <c r="ET13" s="2664"/>
      <c r="EU13" s="2664"/>
      <c r="EV13" s="2664"/>
      <c r="EW13" s="2664"/>
      <c r="EX13" s="2664"/>
      <c r="EY13" s="2664"/>
      <c r="EZ13" s="2664"/>
      <c r="FA13" s="2664"/>
      <c r="FB13" s="2664"/>
      <c r="FC13" s="2664"/>
      <c r="FD13" s="2664"/>
      <c r="FE13" s="2664"/>
      <c r="FF13" s="2664"/>
      <c r="FG13" s="2664"/>
      <c r="FH13" s="2664"/>
      <c r="FI13" s="2664"/>
      <c r="FJ13" s="2664"/>
      <c r="FK13" s="2664"/>
      <c r="FL13" s="2664"/>
      <c r="FM13" s="2664"/>
      <c r="FN13" s="2664"/>
      <c r="FO13" s="2664"/>
      <c r="FP13" s="2664"/>
      <c r="FQ13" s="2664"/>
      <c r="FR13" s="2664"/>
      <c r="FS13" s="2664"/>
      <c r="FT13" s="2664"/>
      <c r="FU13" s="2664"/>
      <c r="FV13" s="2664"/>
      <c r="FW13" s="2676"/>
      <c r="FX13" s="697"/>
      <c r="GC13" s="852">
        <v>36</v>
      </c>
    </row>
    <row r="14" spans="2:185" ht="37.9" customHeight="1">
      <c r="D14" s="864"/>
      <c r="E14" s="863"/>
      <c r="F14" s="2438"/>
      <c r="G14" s="2438"/>
      <c r="H14" s="2438"/>
      <c r="I14" s="2438"/>
      <c r="J14" s="2666"/>
      <c r="K14" s="2666"/>
      <c r="L14" s="2666"/>
      <c r="M14" s="2666"/>
      <c r="N14" s="2666"/>
      <c r="O14" s="2536" t="s">
        <v>1137</v>
      </c>
      <c r="P14" s="2584"/>
      <c r="Q14" s="2536" t="s">
        <v>1138</v>
      </c>
      <c r="R14" s="2584"/>
      <c r="S14" s="2537"/>
      <c r="T14" s="2446"/>
      <c r="U14" s="2536" t="s">
        <v>836</v>
      </c>
      <c r="V14" s="2584"/>
      <c r="W14" s="2536" t="s">
        <v>839</v>
      </c>
      <c r="X14" s="2584"/>
      <c r="Y14" s="2536" t="s">
        <v>836</v>
      </c>
      <c r="Z14" s="2584"/>
      <c r="AA14" s="2536" t="s">
        <v>846</v>
      </c>
      <c r="AB14" s="2584"/>
      <c r="AC14" s="2664"/>
      <c r="AD14" s="2664"/>
      <c r="AE14" s="2664"/>
      <c r="AF14" s="2664"/>
      <c r="AG14" s="2664"/>
      <c r="AH14" s="2664"/>
      <c r="AI14" s="2664"/>
      <c r="AJ14" s="2664"/>
      <c r="AK14" s="2664"/>
      <c r="AL14" s="2664"/>
      <c r="AM14" s="2664"/>
      <c r="AN14" s="2664"/>
      <c r="AO14" s="2664"/>
      <c r="AP14" s="2664"/>
      <c r="AQ14" s="2664"/>
      <c r="AR14" s="2664"/>
      <c r="AS14" s="2664"/>
      <c r="AT14" s="2664"/>
      <c r="AU14" s="2664"/>
      <c r="AV14" s="2664"/>
      <c r="AW14" s="2664"/>
      <c r="AX14" s="2664"/>
      <c r="AY14" s="2664"/>
      <c r="AZ14" s="2664"/>
      <c r="BA14" s="2664"/>
      <c r="BB14" s="2664"/>
      <c r="BC14" s="2664"/>
      <c r="BD14" s="2664"/>
      <c r="BE14" s="2664"/>
      <c r="BF14" s="2664"/>
      <c r="BG14" s="2664"/>
      <c r="BH14" s="2664"/>
      <c r="BI14" s="2664"/>
      <c r="BJ14" s="2664"/>
      <c r="BK14" s="2664"/>
      <c r="BL14" s="2664"/>
      <c r="BM14" s="2664"/>
      <c r="BN14" s="2664"/>
      <c r="BO14" s="2664"/>
      <c r="BP14" s="2664"/>
      <c r="BQ14" s="2664"/>
      <c r="BR14" s="2664"/>
      <c r="BS14" s="2681"/>
      <c r="BT14" s="2537"/>
      <c r="BU14" s="2446"/>
      <c r="BV14" s="2537"/>
      <c r="BW14" s="2446"/>
      <c r="BX14" s="2537"/>
      <c r="BY14" s="2446"/>
      <c r="BZ14" s="2537"/>
      <c r="CA14" s="2446"/>
      <c r="CB14" s="2537"/>
      <c r="CC14" s="2446"/>
      <c r="CD14" s="2537"/>
      <c r="CE14" s="2446"/>
      <c r="CF14" s="2537"/>
      <c r="CG14" s="2446"/>
      <c r="CH14" s="2536" t="s">
        <v>1139</v>
      </c>
      <c r="CI14" s="2584"/>
      <c r="CJ14" s="2536" t="s">
        <v>1140</v>
      </c>
      <c r="CK14" s="2584"/>
      <c r="CL14" s="2665"/>
      <c r="CM14" s="2664"/>
      <c r="CN14" s="2664"/>
      <c r="CO14" s="2664"/>
      <c r="CP14" s="2664"/>
      <c r="CQ14" s="2664"/>
      <c r="CR14" s="2664"/>
      <c r="CS14" s="2664"/>
      <c r="CT14" s="2664"/>
      <c r="CU14" s="2664"/>
      <c r="CV14" s="2664"/>
      <c r="CW14" s="2664"/>
      <c r="CX14" s="2681"/>
      <c r="CY14" s="2537"/>
      <c r="CZ14" s="2446"/>
      <c r="DA14" s="2537"/>
      <c r="DB14" s="2446"/>
      <c r="DC14" s="2537"/>
      <c r="DD14" s="2446"/>
      <c r="DE14" s="2537"/>
      <c r="DF14" s="2446"/>
      <c r="DG14" s="2536" t="s">
        <v>1141</v>
      </c>
      <c r="DH14" s="2584"/>
      <c r="DI14" s="2536" t="s">
        <v>1142</v>
      </c>
      <c r="DJ14" s="2584"/>
      <c r="DK14" s="2665"/>
      <c r="DL14" s="2664"/>
      <c r="DM14" s="2664"/>
      <c r="DN14" s="2664"/>
      <c r="DO14" s="2664"/>
      <c r="DP14" s="2664"/>
      <c r="DQ14" s="2664"/>
      <c r="DR14" s="2664"/>
      <c r="DS14" s="2664"/>
      <c r="DT14" s="2664"/>
      <c r="DU14" s="2664"/>
      <c r="DV14" s="2664"/>
      <c r="DW14" s="2664"/>
      <c r="DX14" s="2664"/>
      <c r="DY14" s="2664"/>
      <c r="DZ14" s="2664"/>
      <c r="EA14" s="2664"/>
      <c r="EB14" s="2664"/>
      <c r="EC14" s="2664"/>
      <c r="ED14" s="2664"/>
      <c r="EE14" s="2664"/>
      <c r="EF14" s="2664"/>
      <c r="EG14" s="2664"/>
      <c r="EH14" s="2664"/>
      <c r="EI14" s="2664"/>
      <c r="EJ14" s="2664"/>
      <c r="EK14" s="2664"/>
      <c r="EL14" s="2664"/>
      <c r="EM14" s="2664"/>
      <c r="EN14" s="2664"/>
      <c r="EO14" s="2664"/>
      <c r="EP14" s="2664"/>
      <c r="EQ14" s="2664"/>
      <c r="ER14" s="2664"/>
      <c r="ES14" s="2664"/>
      <c r="ET14" s="2664"/>
      <c r="EU14" s="2664"/>
      <c r="EV14" s="2664"/>
      <c r="EW14" s="2664"/>
      <c r="EX14" s="2664"/>
      <c r="EY14" s="2664"/>
      <c r="EZ14" s="2664"/>
      <c r="FA14" s="2664"/>
      <c r="FB14" s="2664"/>
      <c r="FC14" s="2664"/>
      <c r="FD14" s="2664"/>
      <c r="FE14" s="2664"/>
      <c r="FF14" s="2664"/>
      <c r="FG14" s="2664"/>
      <c r="FH14" s="2664"/>
      <c r="FI14" s="2664"/>
      <c r="FJ14" s="2664"/>
      <c r="FK14" s="2664"/>
      <c r="FL14" s="2664"/>
      <c r="FM14" s="2664"/>
      <c r="FN14" s="2664"/>
      <c r="FO14" s="2664"/>
      <c r="FP14" s="2664"/>
      <c r="FQ14" s="2664"/>
      <c r="FR14" s="2664"/>
      <c r="FS14" s="2664"/>
      <c r="FT14" s="2664"/>
      <c r="FU14" s="2664"/>
      <c r="FV14" s="2664"/>
      <c r="FW14" s="2676"/>
      <c r="FX14" s="697"/>
      <c r="GC14" s="852">
        <v>36</v>
      </c>
    </row>
    <row r="15" spans="2:185" ht="37.9" customHeight="1">
      <c r="D15" s="864"/>
      <c r="E15" s="863"/>
      <c r="F15" s="2438"/>
      <c r="G15" s="2438"/>
      <c r="H15" s="2438"/>
      <c r="I15" s="2438"/>
      <c r="J15" s="2666"/>
      <c r="K15" s="2666"/>
      <c r="L15" s="2666"/>
      <c r="M15" s="2666"/>
      <c r="N15" s="2666"/>
      <c r="O15" s="2538"/>
      <c r="P15" s="2618"/>
      <c r="Q15" s="2538"/>
      <c r="R15" s="2618"/>
      <c r="S15" s="2538"/>
      <c r="T15" s="2618"/>
      <c r="U15" s="2538"/>
      <c r="V15" s="2618"/>
      <c r="W15" s="2538"/>
      <c r="X15" s="2618"/>
      <c r="Y15" s="2538"/>
      <c r="Z15" s="2618"/>
      <c r="AA15" s="2538"/>
      <c r="AB15" s="2618"/>
      <c r="AC15" s="2664"/>
      <c r="AD15" s="2664"/>
      <c r="AE15" s="2664"/>
      <c r="AF15" s="2664"/>
      <c r="AG15" s="2664"/>
      <c r="AH15" s="2664"/>
      <c r="AI15" s="2664"/>
      <c r="AJ15" s="2664"/>
      <c r="AK15" s="2664"/>
      <c r="AL15" s="2664"/>
      <c r="AM15" s="2664"/>
      <c r="AN15" s="2664"/>
      <c r="AO15" s="2664"/>
      <c r="AP15" s="2664"/>
      <c r="AQ15" s="2664"/>
      <c r="AR15" s="2664"/>
      <c r="AS15" s="2664"/>
      <c r="AT15" s="2664"/>
      <c r="AU15" s="2664"/>
      <c r="AV15" s="2664"/>
      <c r="AW15" s="2664"/>
      <c r="AX15" s="2664"/>
      <c r="AY15" s="2664"/>
      <c r="AZ15" s="2664"/>
      <c r="BA15" s="2664"/>
      <c r="BB15" s="2664"/>
      <c r="BC15" s="2664"/>
      <c r="BD15" s="2664"/>
      <c r="BE15" s="2664"/>
      <c r="BF15" s="2664"/>
      <c r="BG15" s="2664"/>
      <c r="BH15" s="2664"/>
      <c r="BI15" s="2664"/>
      <c r="BJ15" s="2664"/>
      <c r="BK15" s="2664"/>
      <c r="BL15" s="2664"/>
      <c r="BM15" s="2664"/>
      <c r="BN15" s="2664"/>
      <c r="BO15" s="2664"/>
      <c r="BP15" s="2664"/>
      <c r="BQ15" s="2664"/>
      <c r="BR15" s="2664"/>
      <c r="BS15" s="2681"/>
      <c r="BT15" s="2538"/>
      <c r="BU15" s="2618"/>
      <c r="BV15" s="2538"/>
      <c r="BW15" s="2618"/>
      <c r="BX15" s="2538"/>
      <c r="BY15" s="2618"/>
      <c r="BZ15" s="2538"/>
      <c r="CA15" s="2618"/>
      <c r="CB15" s="2538"/>
      <c r="CC15" s="2618"/>
      <c r="CD15" s="2538"/>
      <c r="CE15" s="2618"/>
      <c r="CF15" s="2538"/>
      <c r="CG15" s="2618"/>
      <c r="CH15" s="2538"/>
      <c r="CI15" s="2618"/>
      <c r="CJ15" s="2538"/>
      <c r="CK15" s="2618"/>
      <c r="CL15" s="2665"/>
      <c r="CM15" s="2664"/>
      <c r="CN15" s="2664"/>
      <c r="CO15" s="2664"/>
      <c r="CP15" s="2664"/>
      <c r="CQ15" s="2664"/>
      <c r="CR15" s="2664"/>
      <c r="CS15" s="2664"/>
      <c r="CT15" s="2664"/>
      <c r="CU15" s="2664"/>
      <c r="CV15" s="2664"/>
      <c r="CW15" s="2664"/>
      <c r="CX15" s="2681"/>
      <c r="CY15" s="2538"/>
      <c r="CZ15" s="2618"/>
      <c r="DA15" s="2538"/>
      <c r="DB15" s="2618"/>
      <c r="DC15" s="2538"/>
      <c r="DD15" s="2618"/>
      <c r="DE15" s="2538"/>
      <c r="DF15" s="2618"/>
      <c r="DG15" s="2538"/>
      <c r="DH15" s="2618"/>
      <c r="DI15" s="2538"/>
      <c r="DJ15" s="2618"/>
      <c r="DK15" s="2665"/>
      <c r="DL15" s="2664"/>
      <c r="DM15" s="2664"/>
      <c r="DN15" s="2664"/>
      <c r="DO15" s="2664"/>
      <c r="DP15" s="2664"/>
      <c r="DQ15" s="2664"/>
      <c r="DR15" s="2664"/>
      <c r="DS15" s="2664"/>
      <c r="DT15" s="2664"/>
      <c r="DU15" s="2664"/>
      <c r="DV15" s="2664"/>
      <c r="DW15" s="2664"/>
      <c r="DX15" s="2664"/>
      <c r="DY15" s="2664"/>
      <c r="DZ15" s="2664"/>
      <c r="EA15" s="2664"/>
      <c r="EB15" s="2664"/>
      <c r="EC15" s="2664"/>
      <c r="ED15" s="2664"/>
      <c r="EE15" s="2664"/>
      <c r="EF15" s="2664"/>
      <c r="EG15" s="2664"/>
      <c r="EH15" s="2664"/>
      <c r="EI15" s="2664"/>
      <c r="EJ15" s="2664"/>
      <c r="EK15" s="2664"/>
      <c r="EL15" s="2664"/>
      <c r="EM15" s="2664"/>
      <c r="EN15" s="2664"/>
      <c r="EO15" s="2664"/>
      <c r="EP15" s="2664"/>
      <c r="EQ15" s="2664"/>
      <c r="ER15" s="2664"/>
      <c r="ES15" s="2664"/>
      <c r="ET15" s="2664"/>
      <c r="EU15" s="2664"/>
      <c r="EV15" s="2664"/>
      <c r="EW15" s="2664"/>
      <c r="EX15" s="2664"/>
      <c r="EY15" s="2664"/>
      <c r="EZ15" s="2664"/>
      <c r="FA15" s="2664"/>
      <c r="FB15" s="2664"/>
      <c r="FC15" s="2664"/>
      <c r="FD15" s="2664"/>
      <c r="FE15" s="2664"/>
      <c r="FF15" s="2664"/>
      <c r="FG15" s="2664"/>
      <c r="FH15" s="2664"/>
      <c r="FI15" s="2664"/>
      <c r="FJ15" s="2664"/>
      <c r="FK15" s="2664"/>
      <c r="FL15" s="2664"/>
      <c r="FM15" s="2664"/>
      <c r="FN15" s="2664"/>
      <c r="FO15" s="2664"/>
      <c r="FP15" s="2664"/>
      <c r="FQ15" s="2664"/>
      <c r="FR15" s="2664"/>
      <c r="FS15" s="2664"/>
      <c r="FT15" s="2664"/>
      <c r="FU15" s="2664"/>
      <c r="FV15" s="2664"/>
      <c r="FW15" s="2676"/>
      <c r="FX15" s="697"/>
      <c r="GC15" s="852">
        <v>36</v>
      </c>
    </row>
    <row r="16" spans="2:185" ht="12.75" customHeight="1">
      <c r="D16" s="864"/>
      <c r="E16" s="863"/>
      <c r="F16" s="2438"/>
      <c r="G16" s="2438"/>
      <c r="H16" s="2438"/>
      <c r="I16" s="2438"/>
      <c r="J16" s="2666"/>
      <c r="K16" s="2666"/>
      <c r="L16" s="2666"/>
      <c r="M16" s="2666"/>
      <c r="N16" s="2666"/>
      <c r="O16" s="2582" t="s">
        <v>826</v>
      </c>
      <c r="P16" s="2663"/>
      <c r="Q16" s="2582" t="s">
        <v>828</v>
      </c>
      <c r="R16" s="2663"/>
      <c r="S16" s="2582" t="s">
        <v>832</v>
      </c>
      <c r="T16" s="2663"/>
      <c r="U16" s="2582" t="s">
        <v>837</v>
      </c>
      <c r="V16" s="2663"/>
      <c r="W16" s="2582" t="s">
        <v>840</v>
      </c>
      <c r="X16" s="2663"/>
      <c r="Y16" s="2582" t="s">
        <v>844</v>
      </c>
      <c r="Z16" s="2663"/>
      <c r="AA16" s="2582" t="s">
        <v>847</v>
      </c>
      <c r="AB16" s="2663"/>
      <c r="AC16" s="2664"/>
      <c r="AD16" s="2664"/>
      <c r="AE16" s="2664"/>
      <c r="AF16" s="2664"/>
      <c r="AG16" s="2664"/>
      <c r="AH16" s="2664"/>
      <c r="AI16" s="2664"/>
      <c r="AJ16" s="2664"/>
      <c r="AK16" s="2664"/>
      <c r="AL16" s="2664"/>
      <c r="AM16" s="2664"/>
      <c r="AN16" s="2664"/>
      <c r="AO16" s="2664"/>
      <c r="AP16" s="2664"/>
      <c r="AQ16" s="2664"/>
      <c r="AR16" s="2664"/>
      <c r="AS16" s="2664"/>
      <c r="AT16" s="2664"/>
      <c r="AU16" s="2664"/>
      <c r="AV16" s="2664"/>
      <c r="AW16" s="2664"/>
      <c r="AX16" s="2664"/>
      <c r="AY16" s="2664"/>
      <c r="AZ16" s="2664"/>
      <c r="BA16" s="2664"/>
      <c r="BB16" s="2664"/>
      <c r="BC16" s="2664"/>
      <c r="BD16" s="2664"/>
      <c r="BE16" s="2664"/>
      <c r="BF16" s="2664"/>
      <c r="BG16" s="2664"/>
      <c r="BH16" s="2664"/>
      <c r="BI16" s="2664"/>
      <c r="BJ16" s="2664"/>
      <c r="BK16" s="2664"/>
      <c r="BL16" s="2664"/>
      <c r="BM16" s="2664"/>
      <c r="BN16" s="2664"/>
      <c r="BO16" s="2664"/>
      <c r="BP16" s="2664"/>
      <c r="BQ16" s="2664"/>
      <c r="BR16" s="2664"/>
      <c r="BS16" s="2681"/>
      <c r="BT16" s="2582" t="s">
        <v>556</v>
      </c>
      <c r="BU16" s="2663"/>
      <c r="BV16" s="2582" t="s">
        <v>556</v>
      </c>
      <c r="BW16" s="2663"/>
      <c r="BX16" s="2582" t="s">
        <v>556</v>
      </c>
      <c r="BY16" s="2663"/>
      <c r="BZ16" s="2582" t="s">
        <v>556</v>
      </c>
      <c r="CA16" s="2663"/>
      <c r="CB16" s="2582" t="s">
        <v>1143</v>
      </c>
      <c r="CC16" s="2663"/>
      <c r="CD16" s="2582" t="s">
        <v>556</v>
      </c>
      <c r="CE16" s="2663"/>
      <c r="CF16" s="2582" t="s">
        <v>1144</v>
      </c>
      <c r="CG16" s="2663"/>
      <c r="CH16" s="2582" t="s">
        <v>1145</v>
      </c>
      <c r="CI16" s="2663"/>
      <c r="CJ16" s="2582" t="s">
        <v>1145</v>
      </c>
      <c r="CK16" s="2663"/>
      <c r="CL16" s="2665"/>
      <c r="CM16" s="2664"/>
      <c r="CN16" s="2664"/>
      <c r="CO16" s="2664"/>
      <c r="CP16" s="2664"/>
      <c r="CQ16" s="2664"/>
      <c r="CR16" s="2664"/>
      <c r="CS16" s="2664"/>
      <c r="CT16" s="2664"/>
      <c r="CU16" s="2664"/>
      <c r="CV16" s="2664"/>
      <c r="CW16" s="2664"/>
      <c r="CX16" s="2681"/>
      <c r="CY16" s="2536" t="s">
        <v>556</v>
      </c>
      <c r="CZ16" s="2584"/>
      <c r="DA16" s="2536" t="s">
        <v>556</v>
      </c>
      <c r="DB16" s="2584"/>
      <c r="DC16" s="2536" t="s">
        <v>556</v>
      </c>
      <c r="DD16" s="2584"/>
      <c r="DE16" s="2582" t="s">
        <v>1143</v>
      </c>
      <c r="DF16" s="2663"/>
      <c r="DG16" s="2582" t="s">
        <v>1146</v>
      </c>
      <c r="DH16" s="2663"/>
      <c r="DI16" s="2582" t="s">
        <v>1146</v>
      </c>
      <c r="DJ16" s="2663"/>
      <c r="DK16" s="2665"/>
      <c r="DL16" s="2664"/>
      <c r="DM16" s="2664"/>
      <c r="DN16" s="2664"/>
      <c r="DO16" s="2664"/>
      <c r="DP16" s="2664"/>
      <c r="DQ16" s="2664"/>
      <c r="DR16" s="2664"/>
      <c r="DS16" s="2664"/>
      <c r="DT16" s="2664"/>
      <c r="DU16" s="2664"/>
      <c r="DV16" s="2664"/>
      <c r="DW16" s="2664"/>
      <c r="DX16" s="2664"/>
      <c r="DY16" s="2664"/>
      <c r="DZ16" s="2664"/>
      <c r="EA16" s="2664"/>
      <c r="EB16" s="2664"/>
      <c r="EC16" s="2664"/>
      <c r="ED16" s="2664"/>
      <c r="EE16" s="2664"/>
      <c r="EF16" s="2664"/>
      <c r="EG16" s="2664"/>
      <c r="EH16" s="2664"/>
      <c r="EI16" s="2664"/>
      <c r="EJ16" s="2664"/>
      <c r="EK16" s="2664"/>
      <c r="EL16" s="2664"/>
      <c r="EM16" s="2664"/>
      <c r="EN16" s="2664"/>
      <c r="EO16" s="2664"/>
      <c r="EP16" s="2664"/>
      <c r="EQ16" s="2664"/>
      <c r="ER16" s="2664"/>
      <c r="ES16" s="2664"/>
      <c r="ET16" s="2664"/>
      <c r="EU16" s="2664"/>
      <c r="EV16" s="2664"/>
      <c r="EW16" s="2664"/>
      <c r="EX16" s="2664"/>
      <c r="EY16" s="2664"/>
      <c r="EZ16" s="2664"/>
      <c r="FA16" s="2664"/>
      <c r="FB16" s="2664"/>
      <c r="FC16" s="2664"/>
      <c r="FD16" s="2664"/>
      <c r="FE16" s="2664"/>
      <c r="FF16" s="2664"/>
      <c r="FG16" s="2664"/>
      <c r="FH16" s="2664"/>
      <c r="FI16" s="2664"/>
      <c r="FJ16" s="2664"/>
      <c r="FK16" s="2664"/>
      <c r="FL16" s="2664"/>
      <c r="FM16" s="2664"/>
      <c r="FN16" s="2664"/>
      <c r="FO16" s="2664"/>
      <c r="FP16" s="2664"/>
      <c r="FQ16" s="2664"/>
      <c r="FR16" s="2664"/>
      <c r="FS16" s="2664"/>
      <c r="FT16" s="2664"/>
      <c r="FU16" s="2664"/>
      <c r="FV16" s="2664"/>
      <c r="FW16" s="2676"/>
      <c r="FX16" s="697"/>
      <c r="GC16" s="852">
        <v>12</v>
      </c>
    </row>
    <row r="17" spans="1:185" ht="15.75" customHeight="1">
      <c r="E17" s="863"/>
      <c r="F17" s="2438"/>
      <c r="G17" s="2438"/>
      <c r="H17" s="2438"/>
      <c r="I17" s="2438"/>
      <c r="J17" s="2666"/>
      <c r="K17" s="2666"/>
      <c r="L17" s="2666"/>
      <c r="M17" s="2666"/>
      <c r="N17" s="2666"/>
      <c r="O17" s="1110" t="s">
        <v>1147</v>
      </c>
      <c r="P17" s="1110" t="s">
        <v>1148</v>
      </c>
      <c r="Q17" s="1110" t="s">
        <v>1147</v>
      </c>
      <c r="R17" s="1110" t="s">
        <v>1148</v>
      </c>
      <c r="S17" s="1110" t="s">
        <v>1147</v>
      </c>
      <c r="T17" s="1110" t="s">
        <v>1148</v>
      </c>
      <c r="U17" s="1110" t="s">
        <v>1147</v>
      </c>
      <c r="V17" s="1110" t="s">
        <v>1148</v>
      </c>
      <c r="W17" s="1110" t="s">
        <v>1147</v>
      </c>
      <c r="X17" s="1110" t="s">
        <v>1148</v>
      </c>
      <c r="Y17" s="1110" t="s">
        <v>1147</v>
      </c>
      <c r="Z17" s="1110" t="s">
        <v>1148</v>
      </c>
      <c r="AA17" s="1110" t="s">
        <v>1147</v>
      </c>
      <c r="AB17" s="1110" t="s">
        <v>1148</v>
      </c>
      <c r="AC17" s="2664"/>
      <c r="AD17" s="2664"/>
      <c r="AE17" s="2664"/>
      <c r="AF17" s="2664"/>
      <c r="AG17" s="2664"/>
      <c r="AH17" s="2664"/>
      <c r="AI17" s="2664"/>
      <c r="AJ17" s="2664"/>
      <c r="AK17" s="2664"/>
      <c r="AL17" s="2664"/>
      <c r="AM17" s="2664"/>
      <c r="AN17" s="2664"/>
      <c r="AO17" s="2664"/>
      <c r="AP17" s="2664"/>
      <c r="AQ17" s="2664"/>
      <c r="AR17" s="2664"/>
      <c r="AS17" s="2664"/>
      <c r="AT17" s="2664"/>
      <c r="AU17" s="2664"/>
      <c r="AV17" s="2664"/>
      <c r="AW17" s="2664"/>
      <c r="AX17" s="2664"/>
      <c r="AY17" s="2664"/>
      <c r="AZ17" s="2664"/>
      <c r="BA17" s="2664"/>
      <c r="BB17" s="2664"/>
      <c r="BC17" s="2664"/>
      <c r="BD17" s="2664"/>
      <c r="BE17" s="2664"/>
      <c r="BF17" s="2664"/>
      <c r="BG17" s="2664"/>
      <c r="BH17" s="2664"/>
      <c r="BI17" s="2664"/>
      <c r="BJ17" s="2664"/>
      <c r="BK17" s="2664"/>
      <c r="BL17" s="2664"/>
      <c r="BM17" s="2664"/>
      <c r="BN17" s="2664"/>
      <c r="BO17" s="2664"/>
      <c r="BP17" s="2664"/>
      <c r="BQ17" s="2664"/>
      <c r="BR17" s="2664"/>
      <c r="BS17" s="2681"/>
      <c r="BT17" s="1110" t="s">
        <v>1147</v>
      </c>
      <c r="BU17" s="1110" t="s">
        <v>1148</v>
      </c>
      <c r="BV17" s="1110" t="s">
        <v>1147</v>
      </c>
      <c r="BW17" s="1110" t="s">
        <v>1148</v>
      </c>
      <c r="BX17" s="1110" t="s">
        <v>1147</v>
      </c>
      <c r="BY17" s="1110" t="s">
        <v>1148</v>
      </c>
      <c r="BZ17" s="1110" t="s">
        <v>1147</v>
      </c>
      <c r="CA17" s="1110" t="s">
        <v>1148</v>
      </c>
      <c r="CB17" s="1110" t="s">
        <v>1147</v>
      </c>
      <c r="CC17" s="1110" t="s">
        <v>1148</v>
      </c>
      <c r="CD17" s="1110" t="s">
        <v>1147</v>
      </c>
      <c r="CE17" s="1110" t="s">
        <v>1148</v>
      </c>
      <c r="CF17" s="1110" t="s">
        <v>1147</v>
      </c>
      <c r="CG17" s="1110" t="s">
        <v>1148</v>
      </c>
      <c r="CH17" s="1110" t="s">
        <v>1147</v>
      </c>
      <c r="CI17" s="1110" t="s">
        <v>1148</v>
      </c>
      <c r="CJ17" s="1110" t="s">
        <v>1147</v>
      </c>
      <c r="CK17" s="1110" t="s">
        <v>1148</v>
      </c>
      <c r="CL17" s="2665"/>
      <c r="CM17" s="2664"/>
      <c r="CN17" s="2664"/>
      <c r="CO17" s="2664"/>
      <c r="CP17" s="2664"/>
      <c r="CQ17" s="2664"/>
      <c r="CR17" s="2664"/>
      <c r="CS17" s="2664"/>
      <c r="CT17" s="2664"/>
      <c r="CU17" s="2664"/>
      <c r="CV17" s="2664"/>
      <c r="CW17" s="2664"/>
      <c r="CX17" s="2681"/>
      <c r="CY17" s="1110" t="s">
        <v>1147</v>
      </c>
      <c r="CZ17" s="1110" t="s">
        <v>1148</v>
      </c>
      <c r="DA17" s="1110" t="s">
        <v>1147</v>
      </c>
      <c r="DB17" s="1110" t="s">
        <v>1148</v>
      </c>
      <c r="DC17" s="1110" t="s">
        <v>1147</v>
      </c>
      <c r="DD17" s="1110" t="s">
        <v>1148</v>
      </c>
      <c r="DE17" s="1110" t="s">
        <v>1147</v>
      </c>
      <c r="DF17" s="1110" t="s">
        <v>1148</v>
      </c>
      <c r="DG17" s="1110" t="s">
        <v>1147</v>
      </c>
      <c r="DH17" s="1110" t="s">
        <v>1148</v>
      </c>
      <c r="DI17" s="1110" t="s">
        <v>1147</v>
      </c>
      <c r="DJ17" s="1110" t="s">
        <v>1148</v>
      </c>
      <c r="DK17" s="2665"/>
      <c r="DL17" s="2664"/>
      <c r="DM17" s="2664"/>
      <c r="DN17" s="2664"/>
      <c r="DO17" s="2664"/>
      <c r="DP17" s="2664"/>
      <c r="DQ17" s="2664"/>
      <c r="DR17" s="2664"/>
      <c r="DS17" s="2664"/>
      <c r="DT17" s="2664"/>
      <c r="DU17" s="2664"/>
      <c r="DV17" s="2664"/>
      <c r="DW17" s="2664"/>
      <c r="DX17" s="2664"/>
      <c r="DY17" s="2664"/>
      <c r="DZ17" s="2664"/>
      <c r="EA17" s="2664"/>
      <c r="EB17" s="2664"/>
      <c r="EC17" s="2664"/>
      <c r="ED17" s="2664"/>
      <c r="EE17" s="2664"/>
      <c r="EF17" s="2664"/>
      <c r="EG17" s="2664"/>
      <c r="EH17" s="2664"/>
      <c r="EI17" s="2664"/>
      <c r="EJ17" s="2664"/>
      <c r="EK17" s="2664"/>
      <c r="EL17" s="2664"/>
      <c r="EM17" s="2664"/>
      <c r="EN17" s="2664"/>
      <c r="EO17" s="2664"/>
      <c r="EP17" s="2664"/>
      <c r="EQ17" s="2664"/>
      <c r="ER17" s="2664"/>
      <c r="ES17" s="2664"/>
      <c r="ET17" s="2664"/>
      <c r="EU17" s="2664"/>
      <c r="EV17" s="2664"/>
      <c r="EW17" s="2664"/>
      <c r="EX17" s="2664"/>
      <c r="EY17" s="2664"/>
      <c r="EZ17" s="2664"/>
      <c r="FA17" s="2664"/>
      <c r="FB17" s="2664"/>
      <c r="FC17" s="2664"/>
      <c r="FD17" s="2664"/>
      <c r="FE17" s="2664"/>
      <c r="FF17" s="2664"/>
      <c r="FG17" s="2664"/>
      <c r="FH17" s="2664"/>
      <c r="FI17" s="2664"/>
      <c r="FJ17" s="2664"/>
      <c r="FK17" s="2664"/>
      <c r="FL17" s="2664"/>
      <c r="FM17" s="2664"/>
      <c r="FN17" s="2664"/>
      <c r="FO17" s="2664"/>
      <c r="FP17" s="2664"/>
      <c r="FQ17" s="2664"/>
      <c r="FR17" s="2664"/>
      <c r="FS17" s="2664"/>
      <c r="FT17" s="2664"/>
      <c r="FU17" s="2664"/>
      <c r="FV17" s="2664"/>
      <c r="FW17" s="2677"/>
      <c r="FX17" s="697"/>
      <c r="GC17" s="852">
        <v>15</v>
      </c>
    </row>
    <row r="18" spans="1:185" s="2286" customFormat="1" ht="12" hidden="1" customHeight="1">
      <c r="B18" s="849"/>
      <c r="E18" s="865"/>
      <c r="F18" s="1111"/>
      <c r="G18" s="1111"/>
      <c r="H18" s="1111"/>
      <c r="I18" s="1111"/>
      <c r="J18" s="1112"/>
      <c r="K18" s="1112"/>
      <c r="L18" s="1112"/>
      <c r="M18" s="1112"/>
      <c r="N18" s="1112"/>
      <c r="O18" s="1111"/>
      <c r="P18" s="1111"/>
      <c r="Q18" s="1111"/>
      <c r="R18" s="1111"/>
      <c r="S18" s="1111"/>
      <c r="T18" s="1111"/>
      <c r="U18" s="1113"/>
      <c r="V18" s="1113"/>
      <c r="W18" s="1113"/>
      <c r="X18" s="1113"/>
      <c r="Y18" s="1113"/>
      <c r="Z18" s="1113"/>
      <c r="AA18" s="1113"/>
      <c r="AB18" s="1111"/>
      <c r="AC18" s="1112"/>
      <c r="AD18" s="1112"/>
      <c r="AE18" s="1112"/>
      <c r="AF18" s="1112"/>
      <c r="AG18" s="1112"/>
      <c r="AH18" s="1112"/>
      <c r="AI18" s="1112"/>
      <c r="AJ18" s="1112"/>
      <c r="AK18" s="1112"/>
      <c r="AL18" s="1112"/>
      <c r="AM18" s="1112"/>
      <c r="AN18" s="1112"/>
      <c r="AO18" s="1112"/>
      <c r="AP18" s="1112"/>
      <c r="AQ18" s="1112"/>
      <c r="AR18" s="1112"/>
      <c r="AS18" s="1112"/>
      <c r="AT18" s="1112"/>
      <c r="AU18" s="1112"/>
      <c r="AV18" s="1112"/>
      <c r="AW18" s="1112"/>
      <c r="AX18" s="1112"/>
      <c r="AY18" s="1112"/>
      <c r="AZ18" s="1112"/>
      <c r="BA18" s="1112"/>
      <c r="BB18" s="1112"/>
      <c r="BC18" s="1112"/>
      <c r="BD18" s="1112"/>
      <c r="BE18" s="1112"/>
      <c r="BF18" s="1112"/>
      <c r="BG18" s="1112"/>
      <c r="BH18" s="1112"/>
      <c r="BI18" s="1112"/>
      <c r="BJ18" s="1112"/>
      <c r="BK18" s="1112"/>
      <c r="BL18" s="1112"/>
      <c r="BM18" s="1112"/>
      <c r="BN18" s="1112"/>
      <c r="BO18" s="1112"/>
      <c r="BP18" s="1112"/>
      <c r="BQ18" s="1112"/>
      <c r="BR18" s="1112"/>
      <c r="BS18" s="1112"/>
      <c r="BT18" s="1114"/>
      <c r="BU18" s="1114"/>
      <c r="BV18" s="1114"/>
      <c r="BW18" s="1114"/>
      <c r="BX18" s="1114"/>
      <c r="BY18" s="1114"/>
      <c r="BZ18" s="1114"/>
      <c r="CA18" s="1114"/>
      <c r="CB18" s="1114"/>
      <c r="CC18" s="1114"/>
      <c r="CD18" s="1114"/>
      <c r="CE18" s="1114"/>
      <c r="CF18" s="1114"/>
      <c r="CG18" s="1114"/>
      <c r="CH18" s="1114"/>
      <c r="CI18" s="1114"/>
      <c r="CJ18" s="1114"/>
      <c r="CK18" s="1114"/>
      <c r="CL18" s="1112"/>
      <c r="CM18" s="1112"/>
      <c r="CN18" s="1112"/>
      <c r="CO18" s="1112"/>
      <c r="CP18" s="1112"/>
      <c r="CQ18" s="1112"/>
      <c r="CR18" s="1112"/>
      <c r="CS18" s="1112"/>
      <c r="CT18" s="1112"/>
      <c r="CU18" s="1112"/>
      <c r="CV18" s="1112"/>
      <c r="CW18" s="1112"/>
      <c r="CX18" s="1112"/>
      <c r="CY18" s="1114"/>
      <c r="CZ18" s="1114"/>
      <c r="DA18" s="1114"/>
      <c r="DB18" s="1114"/>
      <c r="DC18" s="1114"/>
      <c r="DD18" s="1114"/>
      <c r="DE18" s="1114"/>
      <c r="DF18" s="1114"/>
      <c r="DG18" s="1114"/>
      <c r="DH18" s="1114"/>
      <c r="DI18" s="1114"/>
      <c r="DJ18" s="1114"/>
      <c r="DK18" s="1112"/>
      <c r="DL18" s="1112"/>
      <c r="DM18" s="1112"/>
      <c r="DN18" s="1112"/>
      <c r="DO18" s="1112"/>
      <c r="DP18" s="1112"/>
      <c r="DQ18" s="1112"/>
      <c r="DR18" s="1112"/>
      <c r="DS18" s="1112"/>
      <c r="DT18" s="1112"/>
      <c r="DU18" s="1112"/>
      <c r="DV18" s="1112"/>
      <c r="DW18" s="1112"/>
      <c r="DX18" s="1112"/>
      <c r="DY18" s="1112"/>
      <c r="DZ18" s="1112"/>
      <c r="EA18" s="1112"/>
      <c r="EB18" s="1112"/>
      <c r="EC18" s="1112"/>
      <c r="ED18" s="1112"/>
      <c r="EE18" s="1112"/>
      <c r="EF18" s="1112"/>
      <c r="EG18" s="1112"/>
      <c r="EH18" s="1112"/>
      <c r="EI18" s="1112"/>
      <c r="EJ18" s="1112"/>
      <c r="EK18" s="1112"/>
      <c r="EL18" s="1112"/>
      <c r="EM18" s="1112"/>
      <c r="EN18" s="1112"/>
      <c r="EO18" s="1112"/>
      <c r="EP18" s="1112"/>
      <c r="EQ18" s="1112"/>
      <c r="ER18" s="1112"/>
      <c r="ES18" s="1112"/>
      <c r="ET18" s="1112"/>
      <c r="EU18" s="1112"/>
      <c r="EV18" s="1112"/>
      <c r="EW18" s="1112"/>
      <c r="EX18" s="1112"/>
      <c r="EY18" s="1112"/>
      <c r="EZ18" s="1112"/>
      <c r="FA18" s="1112"/>
      <c r="FB18" s="1112"/>
      <c r="FC18" s="1112"/>
      <c r="FD18" s="1112"/>
      <c r="FE18" s="1112"/>
      <c r="FF18" s="1112"/>
      <c r="FG18" s="1112"/>
      <c r="FH18" s="1112"/>
      <c r="FI18" s="1112"/>
      <c r="FJ18" s="1112"/>
      <c r="FK18" s="1112"/>
      <c r="FL18" s="1112"/>
      <c r="FM18" s="1112"/>
      <c r="FN18" s="1112"/>
      <c r="FO18" s="1112"/>
      <c r="FP18" s="1112"/>
      <c r="FQ18" s="1112"/>
      <c r="FR18" s="1112"/>
      <c r="FS18" s="1112"/>
      <c r="FT18" s="1112"/>
      <c r="FU18" s="1112"/>
      <c r="FV18" s="1112"/>
      <c r="FW18" s="1111"/>
      <c r="FX18" s="1115"/>
      <c r="GC18" s="850">
        <v>0</v>
      </c>
    </row>
    <row r="19" spans="1:185" s="2286" customFormat="1" ht="11.25" hidden="1" customHeight="1">
      <c r="B19" s="849"/>
      <c r="E19" s="865"/>
      <c r="F19" s="1111"/>
      <c r="G19" s="1111"/>
      <c r="H19" s="1111"/>
      <c r="I19" s="1111"/>
      <c r="J19" s="1111"/>
      <c r="K19" s="1111"/>
      <c r="L19" s="1111"/>
      <c r="M19" s="1111"/>
      <c r="N19" s="1111"/>
      <c r="O19" s="1111"/>
      <c r="P19" s="1111"/>
      <c r="Q19" s="1111"/>
      <c r="R19" s="1111"/>
      <c r="S19" s="1111"/>
      <c r="T19" s="1111"/>
      <c r="U19" s="1113"/>
      <c r="V19" s="1113"/>
      <c r="W19" s="1113"/>
      <c r="X19" s="1113"/>
      <c r="Y19" s="1113"/>
      <c r="Z19" s="1113"/>
      <c r="AA19" s="1113"/>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11"/>
      <c r="CY19" s="1111"/>
      <c r="CZ19" s="1111"/>
      <c r="DA19" s="1111"/>
      <c r="DB19" s="1111"/>
      <c r="DC19" s="1111"/>
      <c r="DD19" s="1111"/>
      <c r="DE19" s="1111"/>
      <c r="DF19" s="1111"/>
      <c r="DG19" s="1111"/>
      <c r="DH19" s="1111"/>
      <c r="DI19" s="1111"/>
      <c r="DJ19" s="1111"/>
      <c r="DK19" s="1111"/>
      <c r="DL19" s="1111"/>
      <c r="DM19" s="1111"/>
      <c r="DN19" s="1111"/>
      <c r="DO19" s="1111"/>
      <c r="DP19" s="1111"/>
      <c r="DQ19" s="1111"/>
      <c r="DR19" s="1111"/>
      <c r="DS19" s="1111"/>
      <c r="DT19" s="1111"/>
      <c r="DU19" s="1111"/>
      <c r="DV19" s="1111"/>
      <c r="DW19" s="1111"/>
      <c r="DX19" s="1111"/>
      <c r="DY19" s="1111"/>
      <c r="DZ19" s="1111"/>
      <c r="EA19" s="1111"/>
      <c r="EB19" s="1111"/>
      <c r="EC19" s="1111"/>
      <c r="ED19" s="1111"/>
      <c r="EE19" s="1111"/>
      <c r="EF19" s="1111"/>
      <c r="EG19" s="1111"/>
      <c r="EH19" s="1111"/>
      <c r="EI19" s="1111"/>
      <c r="EJ19" s="1111"/>
      <c r="EK19" s="1111"/>
      <c r="EL19" s="1111"/>
      <c r="EM19" s="1111"/>
      <c r="EN19" s="1111"/>
      <c r="EO19" s="1111"/>
      <c r="EP19" s="1111"/>
      <c r="EQ19" s="1111"/>
      <c r="ER19" s="1111"/>
      <c r="ES19" s="1111"/>
      <c r="ET19" s="1111"/>
      <c r="EU19" s="1111"/>
      <c r="EV19" s="1111"/>
      <c r="EW19" s="1111"/>
      <c r="EX19" s="1111"/>
      <c r="EY19" s="1111"/>
      <c r="EZ19" s="1111"/>
      <c r="FA19" s="1111"/>
      <c r="FB19" s="1111"/>
      <c r="FC19" s="1111"/>
      <c r="FD19" s="1111"/>
      <c r="FE19" s="1111"/>
      <c r="FF19" s="1111"/>
      <c r="FG19" s="1111"/>
      <c r="FH19" s="1111"/>
      <c r="FI19" s="1111"/>
      <c r="FJ19" s="1111"/>
      <c r="FK19" s="1111"/>
      <c r="FL19" s="1111"/>
      <c r="FM19" s="1111"/>
      <c r="FN19" s="1111"/>
      <c r="FO19" s="1111"/>
      <c r="FP19" s="1111"/>
      <c r="FQ19" s="1111"/>
      <c r="FR19" s="1111"/>
      <c r="FS19" s="1111"/>
      <c r="FT19" s="1111"/>
      <c r="FU19" s="1111"/>
      <c r="FV19" s="1111"/>
      <c r="FW19" s="1111"/>
      <c r="FX19" s="1115"/>
      <c r="GC19" s="850">
        <v>0</v>
      </c>
    </row>
    <row r="20" spans="1:185" s="2286" customFormat="1" ht="11.25" hidden="1" customHeight="1">
      <c r="B20" s="866"/>
      <c r="D20" s="850"/>
      <c r="E20" s="865"/>
      <c r="F20" s="1116" t="s">
        <v>374</v>
      </c>
      <c r="G20" s="1117"/>
      <c r="H20" s="1118"/>
      <c r="I20" s="1118"/>
      <c r="J20" s="1118"/>
      <c r="K20" s="1118"/>
      <c r="L20" s="1118"/>
      <c r="M20" s="1118"/>
      <c r="N20" s="1118"/>
      <c r="O20" s="1117"/>
      <c r="P20" s="1117"/>
      <c r="Q20" s="1117"/>
      <c r="R20" s="1117"/>
      <c r="S20" s="1117"/>
      <c r="T20" s="1117"/>
      <c r="U20" s="1119"/>
      <c r="V20" s="1119"/>
      <c r="W20" s="1119"/>
      <c r="X20" s="1119"/>
      <c r="Y20" s="1119"/>
      <c r="Z20" s="1119"/>
      <c r="AA20" s="1119"/>
      <c r="AB20" s="1117"/>
      <c r="AC20" s="1118"/>
      <c r="AD20" s="1118"/>
      <c r="AE20" s="1118"/>
      <c r="AF20" s="1118"/>
      <c r="AG20" s="1118"/>
      <c r="AH20" s="1118"/>
      <c r="AI20" s="1118"/>
      <c r="AJ20" s="1118"/>
      <c r="AK20" s="1118"/>
      <c r="AL20" s="1118"/>
      <c r="AM20" s="1118"/>
      <c r="AN20" s="1118"/>
      <c r="AO20" s="1118"/>
      <c r="AP20" s="1118"/>
      <c r="AQ20" s="1118"/>
      <c r="AR20" s="1118"/>
      <c r="AS20" s="1118"/>
      <c r="AT20" s="1118"/>
      <c r="AU20" s="1118"/>
      <c r="AV20" s="1118"/>
      <c r="AW20" s="1118"/>
      <c r="AX20" s="1118"/>
      <c r="AY20" s="1118"/>
      <c r="AZ20" s="1118"/>
      <c r="BA20" s="1118"/>
      <c r="BB20" s="1118"/>
      <c r="BC20" s="1118"/>
      <c r="BD20" s="1118"/>
      <c r="BE20" s="1118"/>
      <c r="BF20" s="1118"/>
      <c r="BG20" s="1118"/>
      <c r="BH20" s="1118"/>
      <c r="BI20" s="1118"/>
      <c r="BJ20" s="1118"/>
      <c r="BK20" s="1118"/>
      <c r="BL20" s="1118"/>
      <c r="BM20" s="1118"/>
      <c r="BN20" s="1118"/>
      <c r="BO20" s="1118"/>
      <c r="BP20" s="1118"/>
      <c r="BQ20" s="1118"/>
      <c r="BR20" s="1118"/>
      <c r="BS20" s="1118"/>
      <c r="BT20" s="1118"/>
      <c r="BU20" s="1118"/>
      <c r="BV20" s="1118"/>
      <c r="BW20" s="1118"/>
      <c r="BX20" s="1118"/>
      <c r="BY20" s="1118"/>
      <c r="BZ20" s="1118"/>
      <c r="CA20" s="1118"/>
      <c r="CB20" s="1118"/>
      <c r="CC20" s="1118"/>
      <c r="CD20" s="1118"/>
      <c r="CE20" s="1118"/>
      <c r="CF20" s="1118"/>
      <c r="CG20" s="1118"/>
      <c r="CH20" s="1118"/>
      <c r="CI20" s="1118"/>
      <c r="CJ20" s="1118"/>
      <c r="CK20" s="1118"/>
      <c r="CL20" s="1120"/>
      <c r="CM20" s="1120"/>
      <c r="CN20" s="1120"/>
      <c r="CO20" s="1120"/>
      <c r="CP20" s="1120"/>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0"/>
      <c r="DX20" s="1120"/>
      <c r="DY20" s="1120"/>
      <c r="DZ20" s="1120"/>
      <c r="EA20" s="1120"/>
      <c r="EB20" s="1120"/>
      <c r="EC20" s="1120"/>
      <c r="ED20" s="1120"/>
      <c r="EE20" s="1120"/>
      <c r="EF20" s="1120"/>
      <c r="EG20" s="1120"/>
      <c r="EH20" s="1120"/>
      <c r="EI20" s="1120"/>
      <c r="EJ20" s="1120"/>
      <c r="EK20" s="1120"/>
      <c r="EL20" s="1120"/>
      <c r="EM20" s="1120"/>
      <c r="EN20" s="1120"/>
      <c r="EO20" s="1120"/>
      <c r="EP20" s="1120"/>
      <c r="EQ20" s="1120"/>
      <c r="ER20" s="1120"/>
      <c r="ES20" s="1120"/>
      <c r="ET20" s="1120"/>
      <c r="EU20" s="1120"/>
      <c r="EV20" s="1120"/>
      <c r="EW20" s="1120"/>
      <c r="EX20" s="1120"/>
      <c r="EY20" s="1120"/>
      <c r="EZ20" s="1120"/>
      <c r="FA20" s="1120"/>
      <c r="FB20" s="1120"/>
      <c r="FC20" s="1120"/>
      <c r="FD20" s="1120"/>
      <c r="FE20" s="1120"/>
      <c r="FF20" s="1120"/>
      <c r="FG20" s="1120"/>
      <c r="FH20" s="1120"/>
      <c r="FI20" s="1120"/>
      <c r="FJ20" s="1120"/>
      <c r="FK20" s="1120"/>
      <c r="FL20" s="1120"/>
      <c r="FM20" s="1120"/>
      <c r="FN20" s="1120"/>
      <c r="FO20" s="1120"/>
      <c r="FP20" s="1120"/>
      <c r="FQ20" s="1120"/>
      <c r="FR20" s="1120"/>
      <c r="FS20" s="1120"/>
      <c r="FT20" s="1120"/>
      <c r="FU20" s="1120"/>
      <c r="FV20" s="1120"/>
      <c r="FW20" s="1120"/>
      <c r="FX20" s="1121"/>
      <c r="GC20" s="848">
        <v>0</v>
      </c>
    </row>
    <row r="21" spans="1:185" s="2290" customFormat="1" ht="21" customHeight="1">
      <c r="A21" s="2021" t="s">
        <v>1000</v>
      </c>
      <c r="B21" s="2022"/>
      <c r="C21" s="2023"/>
      <c r="D21" s="2023"/>
      <c r="E21" s="2024" t="s">
        <v>22</v>
      </c>
      <c r="F21" s="2025" t="str">
        <f>INDEX(IP_MAIN_LIST_NAME_IP,MATCH(A21,IP_MAIN_LIST_IP_ID,0))&amp;" ("&amp;INDEX(IP_MAIN_START_DATE,MATCH(A21,IP_MAIN_LIST_IP_ID,0))&amp;"-"&amp;INDEX(IP_MAIN_END_DATE,MATCH(A21,IP_MAIN_LIST_IP_ID,0))&amp;")"</f>
        <v>Инвестиционная программа от 25.07.2019 МУП "Водоканал" в сфере водоснабжения и водоотведения по комплексному развитию централизованных систем холодного водоснабжения и водоотведения, на территории городского округа г. Йошкар-Ола на 2020-2024 годы (01.01.2020-31.12.2024)</v>
      </c>
      <c r="G21" s="2026"/>
      <c r="H21" s="2027"/>
      <c r="I21" s="2027"/>
      <c r="J21" s="2027"/>
      <c r="K21" s="2027"/>
      <c r="L21" s="2027"/>
      <c r="M21" s="2027"/>
      <c r="N21" s="2027"/>
      <c r="O21" s="2026"/>
      <c r="P21" s="2026"/>
      <c r="Q21" s="2026"/>
      <c r="R21" s="2026"/>
      <c r="S21" s="2026"/>
      <c r="T21" s="2026"/>
      <c r="U21" s="2028"/>
      <c r="V21" s="2028"/>
      <c r="W21" s="2028"/>
      <c r="X21" s="2028"/>
      <c r="Y21" s="2028"/>
      <c r="Z21" s="2028"/>
      <c r="AA21" s="2028"/>
      <c r="AB21" s="2026"/>
      <c r="AC21" s="2027"/>
      <c r="AD21" s="2027"/>
      <c r="AE21" s="2027"/>
      <c r="AF21" s="2027"/>
      <c r="AG21" s="2027"/>
      <c r="AH21" s="2027"/>
      <c r="AI21" s="2027"/>
      <c r="AJ21" s="2027"/>
      <c r="AK21" s="2027"/>
      <c r="AL21" s="2027"/>
      <c r="AM21" s="2027"/>
      <c r="AN21" s="2027"/>
      <c r="AO21" s="2027"/>
      <c r="AP21" s="2027"/>
      <c r="AQ21" s="2027"/>
      <c r="AR21" s="2027"/>
      <c r="AS21" s="2027"/>
      <c r="AT21" s="2027"/>
      <c r="AU21" s="2027"/>
      <c r="AV21" s="2027"/>
      <c r="AW21" s="2027"/>
      <c r="AX21" s="2027"/>
      <c r="AY21" s="2027"/>
      <c r="AZ21" s="2027"/>
      <c r="BA21" s="2027"/>
      <c r="BB21" s="2027"/>
      <c r="BC21" s="2027"/>
      <c r="BD21" s="2027"/>
      <c r="BE21" s="2027"/>
      <c r="BF21" s="2027"/>
      <c r="BG21" s="2027"/>
      <c r="BH21" s="2027"/>
      <c r="BI21" s="2027"/>
      <c r="BJ21" s="2027"/>
      <c r="BK21" s="2027"/>
      <c r="BL21" s="2027"/>
      <c r="BM21" s="2027"/>
      <c r="BN21" s="2027"/>
      <c r="BO21" s="2027"/>
      <c r="BP21" s="2027"/>
      <c r="BQ21" s="2027"/>
      <c r="BR21" s="2027"/>
      <c r="BS21" s="2027"/>
      <c r="BT21" s="2027"/>
      <c r="BU21" s="2027"/>
      <c r="BV21" s="2027"/>
      <c r="BW21" s="2027"/>
      <c r="BX21" s="2027"/>
      <c r="BY21" s="2027"/>
      <c r="BZ21" s="2027"/>
      <c r="CA21" s="2027"/>
      <c r="CB21" s="2027"/>
      <c r="CC21" s="2027"/>
      <c r="CD21" s="2027"/>
      <c r="CE21" s="2027"/>
      <c r="CF21" s="2027"/>
      <c r="CG21" s="2027"/>
      <c r="CH21" s="2027"/>
      <c r="CI21" s="2027"/>
      <c r="CJ21" s="2027"/>
      <c r="CK21" s="2027"/>
      <c r="CL21" s="2029"/>
      <c r="CM21" s="2029"/>
      <c r="CN21" s="2029"/>
      <c r="CO21" s="2029"/>
      <c r="CP21" s="2029"/>
      <c r="CQ21" s="2029"/>
      <c r="CR21" s="2029"/>
      <c r="CS21" s="2029"/>
      <c r="CT21" s="2029"/>
      <c r="CU21" s="2029"/>
      <c r="CV21" s="2029"/>
      <c r="CW21" s="2029"/>
      <c r="CX21" s="2029"/>
      <c r="CY21" s="2029"/>
      <c r="CZ21" s="2029"/>
      <c r="DA21" s="2029"/>
      <c r="DB21" s="2029"/>
      <c r="DC21" s="2029"/>
      <c r="DD21" s="2029"/>
      <c r="DE21" s="2029"/>
      <c r="DF21" s="2029"/>
      <c r="DG21" s="2029"/>
      <c r="DH21" s="2029"/>
      <c r="DI21" s="2029"/>
      <c r="DJ21" s="2029"/>
      <c r="DK21" s="2029"/>
      <c r="DL21" s="2029"/>
      <c r="DM21" s="2029"/>
      <c r="DN21" s="2029"/>
      <c r="DO21" s="2029"/>
      <c r="DP21" s="2029"/>
      <c r="DQ21" s="2029"/>
      <c r="DR21" s="2029"/>
      <c r="DS21" s="2029"/>
      <c r="DT21" s="2029"/>
      <c r="DU21" s="2029"/>
      <c r="DV21" s="2029"/>
      <c r="DW21" s="2029"/>
      <c r="DX21" s="2029"/>
      <c r="DY21" s="2029"/>
      <c r="DZ21" s="2029"/>
      <c r="EA21" s="2029"/>
      <c r="EB21" s="2029"/>
      <c r="EC21" s="2029"/>
      <c r="ED21" s="2029"/>
      <c r="EE21" s="2029"/>
      <c r="EF21" s="2029"/>
      <c r="EG21" s="2029"/>
      <c r="EH21" s="2029"/>
      <c r="EI21" s="2029"/>
      <c r="EJ21" s="2029"/>
      <c r="EK21" s="2029"/>
      <c r="EL21" s="2029"/>
      <c r="EM21" s="2029"/>
      <c r="EN21" s="2029"/>
      <c r="EO21" s="2029"/>
      <c r="EP21" s="2029"/>
      <c r="EQ21" s="2029"/>
      <c r="ER21" s="2029"/>
      <c r="ES21" s="2029"/>
      <c r="ET21" s="2029"/>
      <c r="EU21" s="2029"/>
      <c r="EV21" s="2029"/>
      <c r="EW21" s="2029"/>
      <c r="EX21" s="2029"/>
      <c r="EY21" s="2029"/>
      <c r="EZ21" s="2029"/>
      <c r="FA21" s="2029"/>
      <c r="FB21" s="2029"/>
      <c r="FC21" s="2029"/>
      <c r="FD21" s="2029"/>
      <c r="FE21" s="2029"/>
      <c r="FF21" s="2029"/>
      <c r="FG21" s="2029"/>
      <c r="FH21" s="2029"/>
      <c r="FI21" s="2029"/>
      <c r="FJ21" s="2029"/>
      <c r="FK21" s="2029"/>
      <c r="FL21" s="2029"/>
      <c r="FM21" s="2029"/>
      <c r="FN21" s="2029"/>
      <c r="FO21" s="2029"/>
      <c r="FP21" s="2029"/>
      <c r="FQ21" s="2029"/>
      <c r="FR21" s="2029"/>
      <c r="FS21" s="2029"/>
      <c r="FT21" s="2029"/>
      <c r="FU21" s="2029"/>
      <c r="FV21" s="2030"/>
      <c r="FW21" s="2031"/>
      <c r="FX21" s="2032"/>
      <c r="FY21" s="2023"/>
      <c r="FZ21" s="2023"/>
      <c r="GA21" s="2023"/>
      <c r="GB21" s="2023"/>
    </row>
    <row r="22" spans="1:185" s="2291" customFormat="1" ht="24.75" customHeight="1">
      <c r="A22" s="2023" t="s">
        <v>1000</v>
      </c>
      <c r="B22" s="2022"/>
      <c r="C22" s="2023"/>
      <c r="D22" s="2023"/>
      <c r="E22" s="2033"/>
      <c r="F22" s="2034">
        <v>1</v>
      </c>
      <c r="G22" s="2035" t="s">
        <v>990</v>
      </c>
      <c r="H22" s="2003" t="s">
        <v>1149</v>
      </c>
      <c r="I22" s="2036" t="s">
        <v>1150</v>
      </c>
      <c r="J22" s="2037"/>
      <c r="K22" s="2037"/>
      <c r="L22" s="2037"/>
      <c r="M22" s="2037"/>
      <c r="N22" s="2037"/>
      <c r="O22" s="2038"/>
      <c r="P22" s="2038"/>
      <c r="Q22" s="2038"/>
      <c r="R22" s="2038"/>
      <c r="S22" s="2038"/>
      <c r="T22" s="2038"/>
      <c r="U22" s="2038"/>
      <c r="V22" s="2038"/>
      <c r="W22" s="2038"/>
      <c r="X22" s="2038"/>
      <c r="Y22" s="2038"/>
      <c r="Z22" s="2038"/>
      <c r="AA22" s="2038"/>
      <c r="AB22" s="2038"/>
      <c r="AC22" s="2037"/>
      <c r="AD22" s="2037"/>
      <c r="AE22" s="2037"/>
      <c r="AF22" s="2037"/>
      <c r="AG22" s="2037"/>
      <c r="AH22" s="2037"/>
      <c r="AI22" s="2037"/>
      <c r="AJ22" s="2037"/>
      <c r="AK22" s="2037"/>
      <c r="AL22" s="2037"/>
      <c r="AM22" s="2037"/>
      <c r="AN22" s="2037"/>
      <c r="AO22" s="2037"/>
      <c r="AP22" s="2037"/>
      <c r="AQ22" s="2037"/>
      <c r="AR22" s="2037"/>
      <c r="AS22" s="2037"/>
      <c r="AT22" s="2037"/>
      <c r="AU22" s="2037"/>
      <c r="AV22" s="2037"/>
      <c r="AW22" s="2037"/>
      <c r="AX22" s="2037"/>
      <c r="AY22" s="2037"/>
      <c r="AZ22" s="2037"/>
      <c r="BA22" s="2037"/>
      <c r="BB22" s="2037"/>
      <c r="BC22" s="2037"/>
      <c r="BD22" s="2037"/>
      <c r="BE22" s="2037"/>
      <c r="BF22" s="2037"/>
      <c r="BG22" s="2037"/>
      <c r="BH22" s="2037"/>
      <c r="BI22" s="2037"/>
      <c r="BJ22" s="2037"/>
      <c r="BK22" s="2037"/>
      <c r="BL22" s="2037"/>
      <c r="BM22" s="2037"/>
      <c r="BN22" s="2037"/>
      <c r="BO22" s="2037"/>
      <c r="BP22" s="2037"/>
      <c r="BQ22" s="2037"/>
      <c r="BR22" s="2037"/>
      <c r="BS22" s="2037"/>
      <c r="BT22" s="2038"/>
      <c r="BU22" s="2038"/>
      <c r="BV22" s="2038"/>
      <c r="BW22" s="2038"/>
      <c r="BX22" s="2038"/>
      <c r="BY22" s="2038"/>
      <c r="BZ22" s="2038"/>
      <c r="CA22" s="2038"/>
      <c r="CB22" s="2038"/>
      <c r="CC22" s="2038"/>
      <c r="CD22" s="2038"/>
      <c r="CE22" s="2038"/>
      <c r="CF22" s="2038"/>
      <c r="CG22" s="2038"/>
      <c r="CH22" s="2038"/>
      <c r="CI22" s="2038"/>
      <c r="CJ22" s="2038"/>
      <c r="CK22" s="2038"/>
      <c r="CL22" s="2037"/>
      <c r="CM22" s="2037"/>
      <c r="CN22" s="2037"/>
      <c r="CO22" s="2037"/>
      <c r="CP22" s="2037"/>
      <c r="CQ22" s="2037"/>
      <c r="CR22" s="2037"/>
      <c r="CS22" s="2037"/>
      <c r="CT22" s="2037"/>
      <c r="CU22" s="2037"/>
      <c r="CV22" s="2037"/>
      <c r="CW22" s="2037"/>
      <c r="CX22" s="2037"/>
      <c r="CY22" s="2038">
        <v>0</v>
      </c>
      <c r="CZ22" s="2038">
        <v>0</v>
      </c>
      <c r="DA22" s="2038">
        <v>0</v>
      </c>
      <c r="DB22" s="2038">
        <v>0</v>
      </c>
      <c r="DC22" s="2038">
        <v>5</v>
      </c>
      <c r="DD22" s="2038">
        <v>47.951999999999998</v>
      </c>
      <c r="DE22" s="2038">
        <v>0.02</v>
      </c>
      <c r="DF22" s="2038">
        <v>3.819</v>
      </c>
      <c r="DG22" s="2038">
        <v>4</v>
      </c>
      <c r="DH22" s="2038">
        <v>0.42</v>
      </c>
      <c r="DI22" s="2038">
        <v>0.12</v>
      </c>
      <c r="DJ22" s="2038">
        <v>8.1299999999999997E-2</v>
      </c>
      <c r="DK22" s="2037"/>
      <c r="DL22" s="2037"/>
      <c r="DM22" s="2037"/>
      <c r="DN22" s="2037"/>
      <c r="DO22" s="2037"/>
      <c r="DP22" s="2037"/>
      <c r="DQ22" s="2037"/>
      <c r="DR22" s="2037"/>
      <c r="DS22" s="2037"/>
      <c r="DT22" s="2037"/>
      <c r="DU22" s="2037"/>
      <c r="DV22" s="2037"/>
      <c r="DW22" s="2037"/>
      <c r="DX22" s="2037"/>
      <c r="DY22" s="2037"/>
      <c r="DZ22" s="2037"/>
      <c r="EA22" s="2037"/>
      <c r="EB22" s="2037"/>
      <c r="EC22" s="2037"/>
      <c r="ED22" s="2037"/>
      <c r="EE22" s="2037"/>
      <c r="EF22" s="2037"/>
      <c r="EG22" s="2037"/>
      <c r="EH22" s="2037"/>
      <c r="EI22" s="2037"/>
      <c r="EJ22" s="2037"/>
      <c r="EK22" s="2037"/>
      <c r="EL22" s="2037"/>
      <c r="EM22" s="2037"/>
      <c r="EN22" s="2037"/>
      <c r="EO22" s="2037"/>
      <c r="EP22" s="2037"/>
      <c r="EQ22" s="2037"/>
      <c r="ER22" s="2037"/>
      <c r="ES22" s="2037"/>
      <c r="ET22" s="2037"/>
      <c r="EU22" s="2037"/>
      <c r="EV22" s="2037"/>
      <c r="EW22" s="2037"/>
      <c r="EX22" s="2037"/>
      <c r="EY22" s="2037"/>
      <c r="EZ22" s="2037"/>
      <c r="FA22" s="2037"/>
      <c r="FB22" s="2037"/>
      <c r="FC22" s="2037"/>
      <c r="FD22" s="2037"/>
      <c r="FE22" s="2037"/>
      <c r="FF22" s="2037"/>
      <c r="FG22" s="2037"/>
      <c r="FH22" s="2037"/>
      <c r="FI22" s="2037"/>
      <c r="FJ22" s="2037"/>
      <c r="FK22" s="2037"/>
      <c r="FL22" s="2037"/>
      <c r="FM22" s="2037"/>
      <c r="FN22" s="2037"/>
      <c r="FO22" s="2037"/>
      <c r="FP22" s="2037"/>
      <c r="FQ22" s="2037"/>
      <c r="FR22" s="2037"/>
      <c r="FS22" s="2037"/>
      <c r="FT22" s="2037"/>
      <c r="FU22" s="2037"/>
      <c r="FV22" s="2037"/>
      <c r="FW22" s="2037"/>
      <c r="FX22" s="2032"/>
      <c r="FY22" s="2023"/>
      <c r="FZ22" s="2023"/>
      <c r="GA22" s="2023"/>
      <c r="GB22" s="2023"/>
    </row>
    <row r="23" spans="1:185" s="2291" customFormat="1" ht="12" customHeight="1">
      <c r="A23" s="2023" t="s">
        <v>1000</v>
      </c>
      <c r="B23" s="2022"/>
      <c r="C23" s="2023"/>
      <c r="D23" s="2023"/>
      <c r="E23" s="2023"/>
      <c r="F23" s="2039"/>
      <c r="G23" s="2040" t="s">
        <v>1151</v>
      </c>
      <c r="H23" s="2041"/>
      <c r="I23" s="2042"/>
      <c r="J23" s="2043"/>
      <c r="K23" s="2044"/>
      <c r="L23" s="2045"/>
      <c r="M23" s="2046"/>
      <c r="N23" s="2047"/>
      <c r="O23" s="2048"/>
      <c r="P23" s="2049"/>
      <c r="Q23" s="2050"/>
      <c r="R23" s="2051"/>
      <c r="S23" s="2052"/>
      <c r="T23" s="2053"/>
      <c r="U23" s="2054"/>
      <c r="V23" s="2055"/>
      <c r="W23" s="2056"/>
      <c r="X23" s="2057"/>
      <c r="Y23" s="2058"/>
      <c r="Z23" s="2059"/>
      <c r="AA23" s="2060"/>
      <c r="AB23" s="2061"/>
      <c r="AC23" s="2062"/>
      <c r="AD23" s="2063"/>
      <c r="AE23" s="2064"/>
      <c r="AF23" s="2065"/>
      <c r="AG23" s="2066"/>
      <c r="AH23" s="2067"/>
      <c r="AI23" s="2068"/>
      <c r="AJ23" s="2069"/>
      <c r="AK23" s="2070"/>
      <c r="AL23" s="2071"/>
      <c r="AM23" s="2072"/>
      <c r="AN23" s="2073"/>
      <c r="AO23" s="2074"/>
      <c r="AP23" s="2075"/>
      <c r="AQ23" s="2076"/>
      <c r="AR23" s="2077"/>
      <c r="AS23" s="2078"/>
      <c r="AT23" s="2079"/>
      <c r="AU23" s="2080"/>
      <c r="AV23" s="2081"/>
      <c r="AW23" s="2082"/>
      <c r="AX23" s="2083"/>
      <c r="AY23" s="2084"/>
      <c r="AZ23" s="2085"/>
      <c r="BA23" s="2086"/>
      <c r="BB23" s="2087"/>
      <c r="BC23" s="2088"/>
      <c r="BD23" s="2089"/>
      <c r="BE23" s="2090"/>
      <c r="BF23" s="2091"/>
      <c r="BG23" s="2092"/>
      <c r="BH23" s="2093"/>
      <c r="BI23" s="2094"/>
      <c r="BJ23" s="2095"/>
      <c r="BK23" s="2096"/>
      <c r="BL23" s="2097"/>
      <c r="BM23" s="2098"/>
      <c r="BN23" s="2099"/>
      <c r="BO23" s="2100"/>
      <c r="BP23" s="2101"/>
      <c r="BQ23" s="2102"/>
      <c r="BR23" s="2103"/>
      <c r="BS23" s="2104"/>
      <c r="BT23" s="2105"/>
      <c r="BU23" s="2106"/>
      <c r="BV23" s="2107"/>
      <c r="BW23" s="2108"/>
      <c r="BX23" s="2109"/>
      <c r="BY23" s="2110"/>
      <c r="BZ23" s="2111"/>
      <c r="CA23" s="2112"/>
      <c r="CB23" s="2113"/>
      <c r="CC23" s="2114"/>
      <c r="CD23" s="2115"/>
      <c r="CE23" s="2116"/>
      <c r="CF23" s="2117"/>
      <c r="CG23" s="2118"/>
      <c r="CH23" s="2119"/>
      <c r="CI23" s="2120"/>
      <c r="CJ23" s="2121"/>
      <c r="CK23" s="2122"/>
      <c r="CL23" s="2123"/>
      <c r="CM23" s="2124"/>
      <c r="CN23" s="2125"/>
      <c r="CO23" s="2126"/>
      <c r="CP23" s="2127"/>
      <c r="CQ23" s="2128"/>
      <c r="CR23" s="2129"/>
      <c r="CS23" s="2130"/>
      <c r="CT23" s="2131"/>
      <c r="CU23" s="2132"/>
      <c r="CV23" s="2133"/>
      <c r="CW23" s="2134"/>
      <c r="CX23" s="2135"/>
      <c r="CY23" s="2136"/>
      <c r="CZ23" s="2137"/>
      <c r="DA23" s="2138"/>
      <c r="DB23" s="2139"/>
      <c r="DC23" s="2140"/>
      <c r="DD23" s="2141"/>
      <c r="DE23" s="2142"/>
      <c r="DF23" s="2143"/>
      <c r="DG23" s="2144"/>
      <c r="DH23" s="2145"/>
      <c r="DI23" s="2146"/>
      <c r="DJ23" s="2147"/>
      <c r="DK23" s="2148"/>
      <c r="DL23" s="2149"/>
      <c r="DM23" s="2150"/>
      <c r="DN23" s="2151"/>
      <c r="DO23" s="2152"/>
      <c r="DP23" s="2153"/>
      <c r="DQ23" s="2154"/>
      <c r="DR23" s="2155"/>
      <c r="DS23" s="2156"/>
      <c r="DT23" s="2157"/>
      <c r="DU23" s="2158"/>
      <c r="DV23" s="2159"/>
      <c r="DW23" s="2160"/>
      <c r="DX23" s="2161"/>
      <c r="DY23" s="2162"/>
      <c r="DZ23" s="2163"/>
      <c r="EA23" s="2164"/>
      <c r="EB23" s="2165"/>
      <c r="EC23" s="2166"/>
      <c r="ED23" s="2167"/>
      <c r="EE23" s="2168"/>
      <c r="EF23" s="2169"/>
      <c r="EG23" s="2170"/>
      <c r="EH23" s="2171"/>
      <c r="EI23" s="2172"/>
      <c r="EJ23" s="2173"/>
      <c r="EK23" s="2174"/>
      <c r="EL23" s="2175"/>
      <c r="EM23" s="2176"/>
      <c r="EN23" s="2177"/>
      <c r="EO23" s="2178"/>
      <c r="EP23" s="2179"/>
      <c r="EQ23" s="2180"/>
      <c r="ER23" s="2181"/>
      <c r="ES23" s="2182"/>
      <c r="ET23" s="2183"/>
      <c r="EU23" s="2184"/>
      <c r="EV23" s="2185"/>
      <c r="EW23" s="2186"/>
      <c r="EX23" s="2187"/>
      <c r="EY23" s="2188"/>
      <c r="EZ23" s="2189"/>
      <c r="FA23" s="2190"/>
      <c r="FB23" s="2191"/>
      <c r="FC23" s="2192"/>
      <c r="FD23" s="2193"/>
      <c r="FE23" s="2194"/>
      <c r="FF23" s="2195"/>
      <c r="FG23" s="2196"/>
      <c r="FH23" s="2197"/>
      <c r="FI23" s="2198"/>
      <c r="FJ23" s="2199"/>
      <c r="FK23" s="2200"/>
      <c r="FL23" s="2201"/>
      <c r="FM23" s="2202"/>
      <c r="FN23" s="2203"/>
      <c r="FO23" s="2204"/>
      <c r="FP23" s="2205"/>
      <c r="FQ23" s="2206"/>
      <c r="FR23" s="2207"/>
      <c r="FS23" s="2208"/>
      <c r="FT23" s="2209"/>
      <c r="FU23" s="2210"/>
      <c r="FV23" s="2211"/>
      <c r="FW23" s="2212"/>
      <c r="FX23" s="2213"/>
      <c r="FY23" s="2214"/>
      <c r="FZ23" s="2214"/>
      <c r="GA23" s="2214"/>
      <c r="GB23" s="2214"/>
    </row>
    <row r="24" spans="1:185" s="2286" customFormat="1" ht="12.75" customHeight="1">
      <c r="A24" s="867"/>
      <c r="B24" s="867"/>
      <c r="C24" s="867"/>
      <c r="D24" s="867"/>
      <c r="E24" s="867"/>
      <c r="F24" s="865"/>
      <c r="G24" s="865"/>
      <c r="H24" s="865"/>
      <c r="I24" s="865"/>
      <c r="J24" s="865"/>
      <c r="K24" s="865"/>
      <c r="L24" s="865"/>
      <c r="M24" s="865"/>
      <c r="N24" s="865"/>
      <c r="O24" s="865"/>
      <c r="P24" s="865"/>
      <c r="Q24" s="865"/>
      <c r="R24" s="865"/>
      <c r="S24" s="868"/>
      <c r="T24" s="868"/>
      <c r="U24" s="865"/>
      <c r="V24" s="865"/>
      <c r="W24" s="865"/>
      <c r="X24" s="865"/>
      <c r="Y24" s="865"/>
      <c r="Z24" s="865"/>
      <c r="AA24" s="865"/>
      <c r="AB24" s="865"/>
      <c r="AC24" s="865"/>
      <c r="AD24" s="865"/>
      <c r="AE24" s="865"/>
      <c r="AF24" s="865"/>
      <c r="AG24" s="865"/>
      <c r="AH24" s="865"/>
      <c r="AI24" s="865"/>
      <c r="AJ24" s="865"/>
      <c r="AK24" s="865"/>
      <c r="AL24" s="865"/>
      <c r="AM24" s="865"/>
      <c r="AN24" s="865"/>
      <c r="AO24" s="865"/>
      <c r="AP24" s="865"/>
      <c r="AQ24" s="865"/>
      <c r="AR24" s="865"/>
      <c r="AS24" s="865"/>
      <c r="AT24" s="865"/>
      <c r="AU24" s="865"/>
      <c r="AV24" s="865"/>
      <c r="AW24" s="865"/>
      <c r="AX24" s="865"/>
      <c r="AY24" s="865"/>
      <c r="AZ24" s="865"/>
      <c r="BA24" s="865"/>
      <c r="BB24" s="865"/>
      <c r="BC24" s="865"/>
      <c r="BD24" s="865"/>
      <c r="BE24" s="865"/>
      <c r="BF24" s="865"/>
      <c r="BG24" s="865"/>
      <c r="BH24" s="865"/>
      <c r="BI24" s="865"/>
      <c r="BJ24" s="865"/>
      <c r="BK24" s="865"/>
      <c r="BL24" s="865"/>
      <c r="BM24" s="865"/>
      <c r="BN24" s="865"/>
      <c r="BO24" s="865"/>
      <c r="BP24" s="865"/>
      <c r="BQ24" s="865"/>
      <c r="BR24" s="865"/>
      <c r="BS24" s="865"/>
      <c r="BT24" s="865"/>
      <c r="BU24" s="865"/>
      <c r="BV24" s="865"/>
      <c r="BW24" s="865"/>
      <c r="BX24" s="865"/>
      <c r="BY24" s="865"/>
      <c r="BZ24" s="865"/>
      <c r="CA24" s="865"/>
      <c r="CB24" s="865"/>
      <c r="CC24" s="865"/>
      <c r="CD24" s="865"/>
      <c r="CE24" s="865"/>
      <c r="CF24" s="865"/>
      <c r="CG24" s="865"/>
      <c r="CH24" s="865"/>
      <c r="CI24" s="865"/>
      <c r="CJ24" s="865"/>
      <c r="CK24" s="865"/>
      <c r="CL24" s="865"/>
      <c r="CM24" s="865"/>
      <c r="CN24" s="865"/>
      <c r="CO24" s="865"/>
      <c r="CP24" s="865"/>
      <c r="CQ24" s="865"/>
      <c r="CR24" s="865"/>
      <c r="CS24" s="865"/>
      <c r="CT24" s="865"/>
      <c r="CU24" s="865"/>
      <c r="CV24" s="865"/>
      <c r="CW24" s="865"/>
      <c r="CX24" s="865"/>
      <c r="CY24" s="865"/>
      <c r="CZ24" s="865"/>
      <c r="DA24" s="865"/>
      <c r="DB24" s="865"/>
      <c r="DC24" s="865"/>
      <c r="DD24" s="865"/>
      <c r="DE24" s="865"/>
      <c r="DF24" s="865"/>
      <c r="DG24" s="865"/>
      <c r="DH24" s="865"/>
      <c r="DI24" s="865"/>
      <c r="DJ24" s="865"/>
      <c r="DK24" s="865"/>
      <c r="DL24" s="865"/>
      <c r="DM24" s="865"/>
      <c r="DN24" s="865"/>
      <c r="DO24" s="865"/>
      <c r="DP24" s="865"/>
      <c r="DQ24" s="865"/>
      <c r="DR24" s="865"/>
      <c r="DS24" s="865"/>
      <c r="DT24" s="865"/>
      <c r="DU24" s="865"/>
      <c r="DV24" s="865"/>
      <c r="DW24" s="865"/>
      <c r="DX24" s="865"/>
      <c r="DY24" s="865"/>
      <c r="DZ24" s="865"/>
      <c r="EA24" s="865"/>
      <c r="EB24" s="865"/>
      <c r="EC24" s="865"/>
      <c r="ED24" s="865"/>
      <c r="EE24" s="865"/>
      <c r="EF24" s="865"/>
      <c r="EG24" s="865"/>
      <c r="EH24" s="865"/>
      <c r="EI24" s="865"/>
      <c r="EJ24" s="865"/>
      <c r="EK24" s="865"/>
      <c r="EL24" s="865"/>
      <c r="EM24" s="865"/>
      <c r="EN24" s="865"/>
      <c r="EO24" s="865"/>
      <c r="EP24" s="865"/>
      <c r="EQ24" s="865"/>
      <c r="ER24" s="865"/>
      <c r="ES24" s="865"/>
      <c r="ET24" s="865"/>
      <c r="EU24" s="865"/>
      <c r="EV24" s="865"/>
      <c r="EW24" s="865"/>
      <c r="EX24" s="865"/>
      <c r="EY24" s="865"/>
      <c r="EZ24" s="865"/>
      <c r="FA24" s="865"/>
      <c r="FB24" s="865"/>
      <c r="FC24" s="865"/>
      <c r="FD24" s="865"/>
      <c r="FE24" s="865"/>
      <c r="FF24" s="865"/>
      <c r="FG24" s="865"/>
      <c r="FH24" s="865"/>
      <c r="FI24" s="865"/>
      <c r="FJ24" s="865"/>
      <c r="FK24" s="865"/>
      <c r="FL24" s="865"/>
      <c r="FM24" s="865"/>
      <c r="FN24" s="865"/>
      <c r="FO24" s="865"/>
      <c r="FP24" s="865"/>
      <c r="FQ24" s="865"/>
      <c r="FR24" s="865"/>
      <c r="FS24" s="865"/>
      <c r="FT24" s="865"/>
      <c r="FU24" s="865"/>
      <c r="FV24" s="865"/>
      <c r="FW24" s="865"/>
      <c r="FX24" s="867"/>
      <c r="FY24" s="867"/>
      <c r="FZ24" s="867"/>
      <c r="GA24" s="867"/>
      <c r="GB24" s="867"/>
      <c r="GC24" s="848">
        <v>12</v>
      </c>
    </row>
    <row r="25" spans="1:185" s="2286" customFormat="1" ht="12.75" customHeight="1">
      <c r="A25" s="867"/>
      <c r="B25" s="867"/>
      <c r="C25" s="867"/>
      <c r="D25" s="867"/>
      <c r="E25" s="867"/>
      <c r="FX25" s="867"/>
      <c r="FY25" s="867"/>
      <c r="FZ25" s="867"/>
      <c r="GA25" s="867"/>
      <c r="GB25" s="867"/>
      <c r="GC25" s="848">
        <v>12</v>
      </c>
    </row>
    <row r="26" spans="1:185" s="2292" customFormat="1" ht="12.75" customHeight="1">
      <c r="A26" s="986"/>
      <c r="B26" s="986"/>
      <c r="C26" s="986"/>
      <c r="D26" s="986"/>
      <c r="E26" s="986"/>
      <c r="O26" s="988"/>
      <c r="P26" s="988"/>
      <c r="Q26" s="988"/>
      <c r="R26" s="988"/>
      <c r="S26" s="988"/>
      <c r="T26" s="988"/>
      <c r="U26" s="988"/>
      <c r="V26" s="988"/>
      <c r="W26" s="988"/>
      <c r="X26" s="988"/>
      <c r="Y26" s="988"/>
      <c r="Z26" s="988"/>
      <c r="AA26" s="988"/>
      <c r="AB26" s="988"/>
      <c r="AC26" s="988"/>
      <c r="AD26" s="988"/>
      <c r="AE26" s="988"/>
      <c r="AF26" s="988"/>
      <c r="AG26" s="988"/>
      <c r="AH26" s="988"/>
      <c r="AI26" s="988"/>
      <c r="AJ26" s="988"/>
      <c r="AK26" s="988"/>
      <c r="AL26" s="988"/>
      <c r="AM26" s="988"/>
      <c r="AN26" s="988"/>
      <c r="AO26" s="988"/>
      <c r="AP26" s="988"/>
      <c r="AQ26" s="988"/>
      <c r="AR26" s="988"/>
      <c r="AS26" s="988"/>
      <c r="AT26" s="988"/>
      <c r="AU26" s="988"/>
      <c r="AV26" s="988"/>
      <c r="AW26" s="988"/>
      <c r="AX26" s="988"/>
      <c r="AY26" s="988"/>
      <c r="AZ26" s="988"/>
      <c r="BA26" s="988"/>
      <c r="BB26" s="988"/>
      <c r="BC26" s="988"/>
      <c r="BD26" s="988"/>
      <c r="BE26" s="988"/>
      <c r="BF26" s="988"/>
      <c r="BG26" s="988"/>
      <c r="BH26" s="988"/>
      <c r="BI26" s="988"/>
      <c r="BJ26" s="988"/>
      <c r="BK26" s="988"/>
      <c r="BL26" s="988"/>
      <c r="BM26" s="988"/>
      <c r="BN26" s="988"/>
      <c r="BO26" s="988"/>
      <c r="BP26" s="988"/>
      <c r="BQ26" s="988"/>
      <c r="BR26" s="988"/>
      <c r="BS26" s="988"/>
      <c r="BT26" s="989"/>
      <c r="BU26" s="989"/>
      <c r="BV26" s="989"/>
      <c r="BW26" s="989"/>
      <c r="BX26" s="989"/>
      <c r="BY26" s="989"/>
      <c r="BZ26" s="989"/>
      <c r="CA26" s="989"/>
      <c r="CB26" s="989"/>
      <c r="CC26" s="989"/>
      <c r="CD26" s="989"/>
      <c r="CE26" s="989"/>
      <c r="CF26" s="989"/>
      <c r="CG26" s="989"/>
      <c r="CH26" s="989"/>
      <c r="CI26" s="989"/>
      <c r="CJ26" s="989"/>
      <c r="CK26" s="989"/>
      <c r="CL26" s="989"/>
      <c r="CM26" s="989"/>
      <c r="CN26" s="989"/>
      <c r="CO26" s="989"/>
      <c r="CP26" s="989"/>
      <c r="CQ26" s="989"/>
      <c r="CR26" s="989"/>
      <c r="CS26" s="989"/>
      <c r="CT26" s="989"/>
      <c r="CU26" s="989"/>
      <c r="CV26" s="989"/>
      <c r="CW26" s="989"/>
      <c r="CX26" s="989"/>
      <c r="CY26" s="989"/>
      <c r="CZ26" s="989"/>
      <c r="DA26" s="989"/>
      <c r="DB26" s="989"/>
      <c r="DC26" s="989"/>
      <c r="DD26" s="989"/>
      <c r="DE26" s="989"/>
      <c r="DF26" s="989"/>
      <c r="DG26" s="989"/>
      <c r="DH26" s="989"/>
      <c r="DI26" s="989"/>
      <c r="DJ26" s="989"/>
      <c r="DK26" s="989"/>
      <c r="DL26" s="989"/>
      <c r="DM26" s="989"/>
      <c r="DN26" s="989"/>
      <c r="DO26" s="989"/>
      <c r="DP26" s="989"/>
      <c r="DQ26" s="989"/>
      <c r="DR26" s="989"/>
      <c r="DS26" s="989"/>
      <c r="DT26" s="989"/>
      <c r="DU26" s="989"/>
      <c r="DV26" s="989"/>
      <c r="DW26" s="989"/>
      <c r="DX26" s="989"/>
      <c r="FX26" s="986"/>
      <c r="FY26" s="986"/>
      <c r="FZ26" s="986"/>
      <c r="GA26" s="986"/>
      <c r="GB26" s="986"/>
      <c r="GC26" s="987">
        <v>12</v>
      </c>
    </row>
    <row r="27" spans="1:185" ht="12.75" customHeight="1">
      <c r="S27" s="864"/>
      <c r="T27" s="864"/>
      <c r="U27" s="864"/>
      <c r="V27" s="864"/>
      <c r="W27" s="864"/>
      <c r="X27" s="864"/>
      <c r="Y27" s="864"/>
      <c r="Z27" s="864"/>
      <c r="AA27" s="864"/>
      <c r="AB27" s="864"/>
      <c r="FX27" s="864"/>
      <c r="FY27" s="864"/>
      <c r="FZ27" s="864"/>
      <c r="GA27" s="864"/>
      <c r="GB27" s="864"/>
      <c r="GC27" s="852">
        <v>12</v>
      </c>
    </row>
    <row r="28" spans="1:185" ht="12" hidden="1" customHeight="1">
      <c r="A28" s="852" t="s">
        <v>81</v>
      </c>
      <c r="B28" s="862">
        <v>0</v>
      </c>
      <c r="C28" s="852">
        <v>0</v>
      </c>
      <c r="D28" s="852">
        <v>0</v>
      </c>
      <c r="E28" s="852">
        <v>3</v>
      </c>
      <c r="F28" s="852">
        <v>6</v>
      </c>
      <c r="G28" s="852">
        <v>18</v>
      </c>
      <c r="H28" s="852">
        <v>27</v>
      </c>
      <c r="I28" s="852">
        <v>18</v>
      </c>
      <c r="J28" s="852">
        <v>0</v>
      </c>
      <c r="K28" s="852">
        <v>0</v>
      </c>
      <c r="L28" s="852">
        <v>0</v>
      </c>
      <c r="M28" s="852">
        <v>0</v>
      </c>
      <c r="N28" s="852">
        <v>0</v>
      </c>
      <c r="O28" s="852">
        <v>0</v>
      </c>
      <c r="P28" s="852">
        <v>0</v>
      </c>
      <c r="Q28" s="852">
        <v>0</v>
      </c>
      <c r="R28" s="852">
        <v>0</v>
      </c>
      <c r="S28" s="852">
        <v>0</v>
      </c>
      <c r="T28" s="852">
        <v>0</v>
      </c>
      <c r="U28" s="852">
        <v>0</v>
      </c>
      <c r="V28" s="852">
        <v>0</v>
      </c>
      <c r="W28" s="852">
        <v>0</v>
      </c>
      <c r="X28" s="852">
        <v>0</v>
      </c>
      <c r="Y28" s="852">
        <v>0</v>
      </c>
      <c r="Z28" s="852">
        <v>0</v>
      </c>
      <c r="AA28" s="852">
        <v>0</v>
      </c>
      <c r="AB28" s="852">
        <v>0</v>
      </c>
      <c r="AC28" s="852">
        <v>0</v>
      </c>
      <c r="AD28" s="852">
        <v>0</v>
      </c>
      <c r="AE28" s="852">
        <v>0</v>
      </c>
      <c r="AF28" s="852">
        <v>0</v>
      </c>
      <c r="AG28" s="852">
        <v>0</v>
      </c>
      <c r="AH28" s="852">
        <v>0</v>
      </c>
      <c r="AI28" s="852">
        <v>0</v>
      </c>
      <c r="AJ28" s="852">
        <v>0</v>
      </c>
      <c r="AK28" s="852">
        <v>0</v>
      </c>
      <c r="AL28" s="852">
        <v>0</v>
      </c>
      <c r="AM28" s="852">
        <v>0</v>
      </c>
      <c r="AN28" s="852">
        <v>0</v>
      </c>
      <c r="AO28" s="852">
        <v>0</v>
      </c>
      <c r="AP28" s="852">
        <v>0</v>
      </c>
      <c r="AQ28" s="852">
        <v>0</v>
      </c>
      <c r="AR28" s="852">
        <v>0</v>
      </c>
      <c r="AS28" s="852">
        <v>0</v>
      </c>
      <c r="AT28" s="852">
        <v>0</v>
      </c>
      <c r="AU28" s="852">
        <v>0</v>
      </c>
      <c r="AV28" s="852">
        <v>0</v>
      </c>
      <c r="AW28" s="852">
        <v>0</v>
      </c>
      <c r="AX28" s="852">
        <v>0</v>
      </c>
      <c r="AY28" s="852">
        <v>0</v>
      </c>
      <c r="AZ28" s="852">
        <v>0</v>
      </c>
      <c r="BA28" s="852">
        <v>0</v>
      </c>
      <c r="BB28" s="852">
        <v>0</v>
      </c>
      <c r="BC28" s="852">
        <v>0</v>
      </c>
      <c r="BD28" s="852">
        <v>0</v>
      </c>
      <c r="BE28" s="852">
        <v>0</v>
      </c>
      <c r="BF28" s="852">
        <v>0</v>
      </c>
      <c r="BG28" s="852">
        <v>0</v>
      </c>
      <c r="BH28" s="852">
        <v>0</v>
      </c>
      <c r="BI28" s="852">
        <v>0</v>
      </c>
      <c r="BJ28" s="852">
        <v>0</v>
      </c>
      <c r="BK28" s="852">
        <v>0</v>
      </c>
      <c r="BL28" s="852">
        <v>0</v>
      </c>
      <c r="BM28" s="852">
        <v>0</v>
      </c>
      <c r="BN28" s="852">
        <v>0</v>
      </c>
      <c r="BO28" s="852">
        <v>0</v>
      </c>
      <c r="BP28" s="852">
        <v>0</v>
      </c>
      <c r="BQ28" s="852">
        <v>0</v>
      </c>
      <c r="BR28" s="852">
        <v>0</v>
      </c>
      <c r="BS28" s="852">
        <v>0</v>
      </c>
      <c r="BT28" s="852">
        <v>0</v>
      </c>
      <c r="BU28" s="852">
        <v>0</v>
      </c>
      <c r="BV28" s="852">
        <v>0</v>
      </c>
      <c r="BW28" s="852">
        <v>0</v>
      </c>
      <c r="BX28" s="852">
        <v>0</v>
      </c>
      <c r="BY28" s="852">
        <v>0</v>
      </c>
      <c r="BZ28" s="852">
        <v>0</v>
      </c>
      <c r="CA28" s="852">
        <v>0</v>
      </c>
      <c r="CB28" s="852">
        <v>0</v>
      </c>
      <c r="CC28" s="852">
        <v>0</v>
      </c>
      <c r="CD28" s="852">
        <v>0</v>
      </c>
      <c r="CE28" s="852">
        <v>0</v>
      </c>
      <c r="CF28" s="852">
        <v>0</v>
      </c>
      <c r="CG28" s="852">
        <v>0</v>
      </c>
      <c r="CH28" s="852">
        <v>0</v>
      </c>
      <c r="CI28" s="852">
        <v>0</v>
      </c>
      <c r="CJ28" s="852">
        <v>0</v>
      </c>
      <c r="CK28" s="852">
        <v>0</v>
      </c>
      <c r="CL28" s="852">
        <v>0</v>
      </c>
      <c r="CM28" s="852">
        <v>0</v>
      </c>
      <c r="CN28" s="852">
        <v>0</v>
      </c>
      <c r="CO28" s="852">
        <v>0</v>
      </c>
      <c r="CP28" s="852">
        <v>0</v>
      </c>
      <c r="CQ28" s="852">
        <v>0</v>
      </c>
      <c r="CR28" s="852">
        <v>0</v>
      </c>
      <c r="CS28" s="852">
        <v>0</v>
      </c>
      <c r="CT28" s="852">
        <v>0</v>
      </c>
      <c r="CU28" s="852">
        <v>0</v>
      </c>
      <c r="CV28" s="852">
        <v>0</v>
      </c>
      <c r="CW28" s="852">
        <v>0</v>
      </c>
      <c r="CX28" s="852">
        <v>0</v>
      </c>
      <c r="CY28" s="852">
        <v>0</v>
      </c>
      <c r="CZ28" s="852">
        <v>0</v>
      </c>
      <c r="DA28" s="852">
        <v>0</v>
      </c>
      <c r="DB28" s="852">
        <v>0</v>
      </c>
      <c r="DC28" s="852">
        <v>0</v>
      </c>
      <c r="DD28" s="852">
        <v>0</v>
      </c>
      <c r="DE28" s="852">
        <v>0</v>
      </c>
      <c r="DF28" s="852">
        <v>0</v>
      </c>
      <c r="DG28" s="852">
        <v>0</v>
      </c>
      <c r="DH28" s="852">
        <v>0</v>
      </c>
      <c r="DI28" s="852">
        <v>0</v>
      </c>
      <c r="DJ28" s="852">
        <v>0</v>
      </c>
      <c r="DK28" s="852">
        <v>0</v>
      </c>
      <c r="DL28" s="852">
        <v>0</v>
      </c>
      <c r="DM28" s="852">
        <v>0</v>
      </c>
      <c r="DN28" s="852">
        <v>0</v>
      </c>
      <c r="DO28" s="852">
        <v>0</v>
      </c>
      <c r="DP28" s="852">
        <v>0</v>
      </c>
      <c r="DQ28" s="852">
        <v>0</v>
      </c>
      <c r="DR28" s="852">
        <v>0</v>
      </c>
      <c r="DS28" s="852">
        <v>0</v>
      </c>
      <c r="DT28" s="852">
        <v>0</v>
      </c>
      <c r="DU28" s="852">
        <v>0</v>
      </c>
      <c r="DV28" s="852">
        <v>0</v>
      </c>
      <c r="DW28" s="852">
        <v>0</v>
      </c>
      <c r="DX28" s="852">
        <v>0</v>
      </c>
      <c r="DY28" s="852">
        <v>0</v>
      </c>
      <c r="DZ28" s="852">
        <v>0</v>
      </c>
      <c r="EA28" s="852">
        <v>0</v>
      </c>
      <c r="EB28" s="852">
        <v>0</v>
      </c>
      <c r="EC28" s="852">
        <v>0</v>
      </c>
      <c r="ED28" s="852">
        <v>0</v>
      </c>
      <c r="EE28" s="852">
        <v>0</v>
      </c>
      <c r="EF28" s="852">
        <v>0</v>
      </c>
      <c r="EG28" s="852">
        <v>0</v>
      </c>
      <c r="EH28" s="852">
        <v>0</v>
      </c>
      <c r="EI28" s="852">
        <v>0</v>
      </c>
      <c r="EJ28" s="852">
        <v>0</v>
      </c>
      <c r="EK28" s="852">
        <v>0</v>
      </c>
      <c r="EL28" s="852">
        <v>0</v>
      </c>
      <c r="EM28" s="852">
        <v>0</v>
      </c>
      <c r="EN28" s="852">
        <v>0</v>
      </c>
      <c r="EO28" s="852">
        <v>0</v>
      </c>
      <c r="EP28" s="852">
        <v>0</v>
      </c>
      <c r="EQ28" s="852">
        <v>0</v>
      </c>
      <c r="ER28" s="852">
        <v>0</v>
      </c>
      <c r="ES28" s="852">
        <v>0</v>
      </c>
      <c r="ET28" s="852">
        <v>0</v>
      </c>
      <c r="EU28" s="852">
        <v>0</v>
      </c>
      <c r="EV28" s="852">
        <v>0</v>
      </c>
      <c r="EW28" s="852">
        <v>0</v>
      </c>
      <c r="EX28" s="852">
        <v>0</v>
      </c>
      <c r="EY28" s="852">
        <v>0</v>
      </c>
      <c r="EZ28" s="852">
        <v>0</v>
      </c>
      <c r="FA28" s="852">
        <v>0</v>
      </c>
      <c r="FB28" s="852">
        <v>0</v>
      </c>
      <c r="FC28" s="852">
        <v>0</v>
      </c>
      <c r="FD28" s="852">
        <v>0</v>
      </c>
      <c r="FE28" s="852">
        <v>0</v>
      </c>
      <c r="FF28" s="852">
        <v>0</v>
      </c>
      <c r="FG28" s="852">
        <v>0</v>
      </c>
      <c r="FH28" s="852">
        <v>0</v>
      </c>
      <c r="FI28" s="852">
        <v>0</v>
      </c>
      <c r="FJ28" s="852">
        <v>0</v>
      </c>
      <c r="FK28" s="852">
        <v>0</v>
      </c>
      <c r="FL28" s="852">
        <v>0</v>
      </c>
      <c r="FM28" s="852">
        <v>0</v>
      </c>
      <c r="FN28" s="852">
        <v>0</v>
      </c>
      <c r="FO28" s="852">
        <v>0</v>
      </c>
      <c r="FP28" s="852">
        <v>0</v>
      </c>
      <c r="FQ28" s="852">
        <v>0</v>
      </c>
      <c r="FR28" s="852">
        <v>0</v>
      </c>
      <c r="FS28" s="852">
        <v>0</v>
      </c>
      <c r="FT28" s="852">
        <v>0</v>
      </c>
      <c r="FU28" s="852">
        <v>0</v>
      </c>
      <c r="FV28" s="852">
        <v>0</v>
      </c>
      <c r="FW28" s="852">
        <v>0</v>
      </c>
      <c r="FX28" s="852">
        <v>8</v>
      </c>
      <c r="FY28" s="852">
        <v>8</v>
      </c>
      <c r="FZ28" s="852">
        <v>8</v>
      </c>
      <c r="GA28" s="852">
        <v>8</v>
      </c>
      <c r="GB28" s="852">
        <v>8</v>
      </c>
      <c r="GC28" s="852">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47">
    <dataValidation allowBlank="1" showInputMessage="1" showErrorMessage="1" sqref="AA14:AB16 U16:Z16"/>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type="textLength" operator="lessThanOrEqual" allowBlank="1" showInputMessage="1" showErrorMessage="1" errorTitle="Ошибка" error="Допускается ввод не более 900 символов!" sqref="I22">
      <formula1>900</formula1>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s>
  <pageMargins left="0.70866141732283472" right="0.70866141732283472" top="0.74803149606299213" bottom="0.74803149606299213" header="0.31496062992125984" footer="0.31496062992125984"/>
  <pageSetup paperSize="9" scale="50" orientation="landscape" r:id="rId1"/>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2236" hidden="1" customWidth="1"/>
    <col min="2" max="2" width="9.140625" style="2238" hidden="1" customWidth="1"/>
    <col min="3" max="3" width="4" style="2283" customWidth="1"/>
    <col min="4" max="4" width="6" style="2238" customWidth="1"/>
    <col min="5" max="5" width="36" style="2238" customWidth="1"/>
    <col min="6" max="6" width="9" style="2238" customWidth="1"/>
    <col min="7" max="7" width="42.42578125" style="2238" hidden="1" customWidth="1"/>
    <col min="8" max="8" width="40.7109375" style="2238" customWidth="1"/>
    <col min="9" max="9" width="93" style="2244" customWidth="1"/>
    <col min="10" max="17" width="10" style="2238" customWidth="1"/>
    <col min="18" max="18" width="10" style="2284" customWidth="1"/>
    <col min="19" max="19" width="10.5703125" style="2238" hidden="1"/>
  </cols>
  <sheetData>
    <row r="1" spans="1:19" s="2244" customFormat="1" ht="15" hidden="1" customHeight="1">
      <c r="C1" s="609"/>
      <c r="H1" s="354">
        <v>4</v>
      </c>
      <c r="R1" s="357"/>
      <c r="S1" s="354" t="s">
        <v>14</v>
      </c>
    </row>
    <row r="2" spans="1:19" ht="22.5" hidden="1" customHeight="1">
      <c r="C2" s="1841" t="s">
        <v>575</v>
      </c>
      <c r="D2" s="476"/>
      <c r="E2" s="600"/>
      <c r="F2" s="1679" t="str">
        <f>IF(TEMPLATE_SPHERE="HEAT","Гкал/час","тыс. куб. м/сутки")</f>
        <v>тыс. куб. м/сутки</v>
      </c>
      <c r="G2" s="617"/>
      <c r="H2" s="617"/>
      <c r="I2" s="226"/>
      <c r="S2" s="442">
        <v>0</v>
      </c>
    </row>
    <row r="3" spans="1:19" s="2244" customFormat="1" ht="15" hidden="1" customHeight="1">
      <c r="C3" s="609"/>
      <c r="R3" s="357"/>
      <c r="S3" s="354">
        <v>0</v>
      </c>
    </row>
    <row r="4" spans="1:19" ht="15.75" customHeight="1">
      <c r="C4" s="113"/>
      <c r="D4" s="446"/>
      <c r="E4" s="446"/>
      <c r="F4" s="446"/>
      <c r="G4" s="446"/>
      <c r="H4" s="446"/>
      <c r="S4" s="442">
        <v>15</v>
      </c>
    </row>
    <row r="5" spans="1:19" ht="39.75" customHeight="1">
      <c r="C5" s="113"/>
      <c r="D5" s="2467"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467"/>
      <c r="F5" s="2467"/>
      <c r="G5" s="2467"/>
      <c r="H5" s="2467"/>
      <c r="I5" s="474"/>
      <c r="S5" s="442">
        <v>38</v>
      </c>
    </row>
    <row r="6" spans="1:19" ht="15.75" customHeight="1">
      <c r="C6" s="113"/>
      <c r="D6" s="2412" t="str">
        <f>IF(org=0,"Не определено",org)</f>
        <v>МУП "Водоканал"</v>
      </c>
      <c r="E6" s="2412"/>
      <c r="F6" s="2412"/>
      <c r="G6" s="2412"/>
      <c r="H6" s="2412"/>
      <c r="I6" s="474"/>
      <c r="S6" s="442">
        <v>15</v>
      </c>
    </row>
    <row r="7" spans="1:19" s="2238" customFormat="1" ht="15.75" customHeight="1">
      <c r="A7" s="694"/>
      <c r="C7" s="113"/>
      <c r="D7" s="613"/>
      <c r="E7" s="613"/>
      <c r="F7" s="613"/>
      <c r="G7" s="613"/>
      <c r="H7" s="689"/>
      <c r="I7" s="474"/>
      <c r="R7" s="612"/>
      <c r="S7" s="693">
        <v>15</v>
      </c>
    </row>
    <row r="8" spans="1:19" ht="1.1499999999999999" customHeight="1">
      <c r="C8" s="113"/>
      <c r="D8" s="446"/>
      <c r="E8" s="446"/>
      <c r="F8" s="446"/>
      <c r="G8" s="446"/>
      <c r="H8" s="474" t="s">
        <v>116</v>
      </c>
      <c r="S8" s="442">
        <v>1</v>
      </c>
    </row>
    <row r="9" spans="1:19" ht="15.75" customHeight="1">
      <c r="C9" s="113"/>
      <c r="D9" s="648"/>
      <c r="E9" s="2566" t="s">
        <v>104</v>
      </c>
      <c r="F9" s="2567"/>
      <c r="G9" s="747" t="str">
        <f>IF(G8="","",INDEX(DIFFERENTIATION_UNMERGE_VD,MATCH(G8,DIFFERENTIATION_ID_DIFF,0)))</f>
        <v/>
      </c>
      <c r="H9" s="747" t="str">
        <f>IF(H8="","",INDEX(DIFFERENTIATION_UNMERGE_VD,MATCH(H8,DIFFERENTIATION_ID_DIFF,0)))</f>
        <v>Водоотведение</v>
      </c>
      <c r="I9" s="2363" t="s">
        <v>299</v>
      </c>
      <c r="S9" s="442">
        <v>15</v>
      </c>
    </row>
    <row r="10" spans="1:19" s="2238" customFormat="1" ht="15.75" customHeight="1">
      <c r="A10" s="694"/>
      <c r="C10" s="113"/>
      <c r="D10" s="648"/>
      <c r="E10" s="2566" t="s">
        <v>562</v>
      </c>
      <c r="F10" s="2567"/>
      <c r="G10" s="747" t="str">
        <f>IF(G8="","",INDEX(DIFFERENTIATION_UNMERGE_AREA,MATCH(G8,DIFFERENTIATION_ID_DIFF,0)))</f>
        <v/>
      </c>
      <c r="H10" s="747" t="str">
        <f>IF(H8="","",INDEX(DIFFERENTIATION_UNMERGE_AREA,MATCH(H8,DIFFERENTIATION_ID_DIFF,0)))</f>
        <v>Территория 1</v>
      </c>
      <c r="I10" s="2363"/>
      <c r="R10" s="612"/>
      <c r="S10" s="693">
        <v>15</v>
      </c>
    </row>
    <row r="11" spans="1:19" s="2238" customFormat="1" ht="15.75" customHeight="1">
      <c r="A11" s="694"/>
      <c r="C11" s="113"/>
      <c r="D11" s="648"/>
      <c r="E11" s="2566" t="s">
        <v>563</v>
      </c>
      <c r="F11" s="2567"/>
      <c r="G11" s="747" t="str">
        <f>IF(G8="","",INDEX(DIFFERENTIATION_UNMERGE_SYSTEM,MATCH(G8,DIFFERENTIATION_ID_DIFF,0)))</f>
        <v/>
      </c>
      <c r="H11" s="747" t="str">
        <f>IF(H8="","",INDEX(DIFFERENTIATION_UNMERGE_SYSTEM,MATCH(H8,DIFFERENTIATION_ID_DIFF,0)))</f>
        <v>без дифференциации</v>
      </c>
      <c r="I11" s="2363"/>
      <c r="R11" s="612"/>
      <c r="S11" s="693">
        <v>15</v>
      </c>
    </row>
    <row r="12" spans="1:19" s="2238" customFormat="1" ht="15.75" customHeight="1">
      <c r="A12" s="694"/>
      <c r="C12" s="113"/>
      <c r="D12" s="2568" t="s">
        <v>298</v>
      </c>
      <c r="E12" s="2569"/>
      <c r="F12" s="2569"/>
      <c r="G12" s="813"/>
      <c r="H12" s="813"/>
      <c r="I12" s="2363"/>
      <c r="R12" s="612"/>
      <c r="S12" s="693">
        <v>15</v>
      </c>
    </row>
    <row r="13" spans="1:19" ht="35.65" customHeight="1">
      <c r="C13" s="113"/>
      <c r="D13" s="696" t="s">
        <v>87</v>
      </c>
      <c r="E13" s="695" t="s">
        <v>300</v>
      </c>
      <c r="F13" s="695" t="s">
        <v>564</v>
      </c>
      <c r="G13" s="739" t="s">
        <v>301</v>
      </c>
      <c r="H13" s="691" t="s">
        <v>301</v>
      </c>
      <c r="I13" s="2363"/>
      <c r="S13" s="442">
        <v>34</v>
      </c>
    </row>
    <row r="14" spans="1:19" ht="15" hidden="1" customHeight="1">
      <c r="C14" s="113"/>
      <c r="D14" s="530" t="s">
        <v>108</v>
      </c>
      <c r="E14" s="530" t="s">
        <v>109</v>
      </c>
      <c r="F14" s="530" t="s">
        <v>89</v>
      </c>
      <c r="G14" s="596" t="str">
        <f>G1&amp;".1"</f>
        <v>.1</v>
      </c>
      <c r="H14" s="596" t="str">
        <f>H1&amp;".1"</f>
        <v>4.1</v>
      </c>
      <c r="I14" s="226"/>
      <c r="S14" s="442">
        <v>0</v>
      </c>
    </row>
    <row r="15" spans="1:19" ht="15.75" customHeight="1">
      <c r="A15" s="442"/>
      <c r="C15" s="463"/>
      <c r="D15" s="458">
        <v>1</v>
      </c>
      <c r="E15" s="1843" t="str">
        <f>TP_P_A</f>
        <v xml:space="preserve">Количество поданных заявлений </v>
      </c>
      <c r="F15" s="458" t="s">
        <v>1152</v>
      </c>
      <c r="G15" s="622"/>
      <c r="H15" s="622"/>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442">
        <v>15</v>
      </c>
    </row>
    <row r="16" spans="1:19" ht="15.75" customHeight="1">
      <c r="A16" s="442"/>
      <c r="C16" s="463"/>
      <c r="D16" s="458">
        <v>2</v>
      </c>
      <c r="E16" s="1843" t="str">
        <f>TP_P_B</f>
        <v xml:space="preserve">Количество исполненных заявлений </v>
      </c>
      <c r="F16" s="458" t="s">
        <v>1152</v>
      </c>
      <c r="G16" s="622"/>
      <c r="H16" s="622"/>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442">
        <v>15</v>
      </c>
    </row>
    <row r="17" spans="1:19" ht="77.650000000000006" customHeight="1">
      <c r="A17" s="442"/>
      <c r="C17" s="463"/>
      <c r="D17" s="458">
        <v>3</v>
      </c>
      <c r="E17" s="184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1152</v>
      </c>
      <c r="G17" s="622"/>
      <c r="H17" s="622"/>
      <c r="I17" s="145"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442">
        <v>74</v>
      </c>
    </row>
    <row r="18" spans="1:19" ht="54.75" customHeight="1">
      <c r="A18" s="442"/>
      <c r="C18" s="463"/>
      <c r="D18" s="458">
        <v>4</v>
      </c>
      <c r="E18" s="1843" t="str">
        <f>TP_P_V_1</f>
        <v>Причины отказа в заключении договора о подключении (технологическом присоединении) к централизованной системе водоотведения</v>
      </c>
      <c r="F18" s="458" t="s">
        <v>304</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43"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442">
        <v>57</v>
      </c>
    </row>
    <row r="20" spans="1:19" ht="15" hidden="1" customHeight="1">
      <c r="D20" s="446" t="s">
        <v>1153</v>
      </c>
      <c r="E20" s="625"/>
      <c r="F20" s="446"/>
      <c r="G20" s="446"/>
      <c r="H20" s="446"/>
      <c r="I20" s="1681"/>
      <c r="S20" s="442">
        <v>0</v>
      </c>
    </row>
    <row r="21" spans="1:19" ht="29.25" customHeight="1">
      <c r="C21" s="388"/>
      <c r="D21" s="476" t="s">
        <v>311</v>
      </c>
      <c r="E21" s="607"/>
      <c r="F21" s="1679" t="str">
        <f>IF(TEMPLATE_SPHERE="HEAT","Гкал/час","тыс. куб. м/сутки")</f>
        <v>тыс. куб. м/сутки</v>
      </c>
      <c r="G21" s="617"/>
      <c r="H21" s="617"/>
      <c r="I21" s="2405"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442">
        <v>28</v>
      </c>
    </row>
    <row r="22" spans="1:19" ht="15.75" customHeight="1">
      <c r="A22" s="442"/>
      <c r="C22" s="442"/>
      <c r="D22" s="284"/>
      <c r="E22" s="517" t="s">
        <v>1154</v>
      </c>
      <c r="F22" s="509"/>
      <c r="G22" s="509"/>
      <c r="H22" s="509"/>
      <c r="I22" s="2407"/>
      <c r="R22" s="442"/>
      <c r="S22" s="442">
        <v>15</v>
      </c>
    </row>
    <row r="23" spans="1:19" ht="22.5" hidden="1" customHeight="1">
      <c r="A23" s="386" t="s">
        <v>81</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272" hidden="1" customWidth="1"/>
    <col min="2" max="2" width="9.140625" style="2244" hidden="1" customWidth="1"/>
    <col min="3" max="3" width="3" style="2273" customWidth="1"/>
    <col min="4" max="4" width="6" style="2238" customWidth="1"/>
    <col min="5" max="6" width="64" style="2238" customWidth="1"/>
    <col min="7" max="7" width="140" style="2238" customWidth="1"/>
    <col min="8" max="8" width="10" style="2238" customWidth="1"/>
    <col min="9" max="10" width="10" style="2251" customWidth="1"/>
    <col min="11" max="16" width="10" style="2238" customWidth="1"/>
    <col min="17" max="17" width="10.5703125" style="2238"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393"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394"/>
      <c r="F5" s="2394"/>
      <c r="G5" s="2395"/>
      <c r="Q5" s="23">
        <v>28</v>
      </c>
    </row>
    <row r="6" spans="1:17" s="2238" customFormat="1" ht="18.75" customHeight="1">
      <c r="A6" s="808"/>
      <c r="B6" s="354"/>
      <c r="C6" s="313"/>
      <c r="D6" s="2447" t="str">
        <f>IF(org=0,"Не определено",org)</f>
        <v>МУП "Водоканал"</v>
      </c>
      <c r="E6" s="2448"/>
      <c r="F6" s="2448"/>
      <c r="G6" s="2449"/>
      <c r="I6" s="437"/>
      <c r="J6" s="437"/>
      <c r="Q6" s="693">
        <v>18</v>
      </c>
    </row>
    <row r="7" spans="1:17" ht="14.65" customHeight="1">
      <c r="C7" s="36"/>
      <c r="D7" s="24"/>
      <c r="E7" s="35"/>
      <c r="F7" s="689"/>
      <c r="G7" s="130"/>
      <c r="Q7" s="23">
        <v>14</v>
      </c>
    </row>
    <row r="8" spans="1:17" s="2238" customFormat="1" ht="1.1499999999999999" customHeight="1">
      <c r="A8" s="1588"/>
      <c r="B8" s="1079"/>
      <c r="C8" s="313"/>
      <c r="D8" s="300"/>
      <c r="E8" s="326"/>
      <c r="F8" s="689"/>
      <c r="G8" s="130"/>
      <c r="I8" s="1543"/>
      <c r="J8" s="1543"/>
      <c r="Q8" s="1550">
        <v>1</v>
      </c>
    </row>
    <row r="9" spans="1:17" ht="14.65" customHeight="1">
      <c r="C9" s="36"/>
      <c r="D9" s="2442" t="s">
        <v>298</v>
      </c>
      <c r="E9" s="2442"/>
      <c r="F9" s="2442"/>
      <c r="G9" s="2585" t="s">
        <v>299</v>
      </c>
      <c r="Q9" s="23">
        <v>14</v>
      </c>
    </row>
    <row r="10" spans="1:17" ht="24" customHeight="1">
      <c r="C10" s="36"/>
      <c r="D10" s="45" t="s">
        <v>87</v>
      </c>
      <c r="E10" s="48" t="s">
        <v>300</v>
      </c>
      <c r="F10" s="48" t="s">
        <v>388</v>
      </c>
      <c r="G10" s="2585"/>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5" t="s">
        <v>304</v>
      </c>
      <c r="G12" s="89"/>
      <c r="Q12" s="23">
        <v>62</v>
      </c>
    </row>
    <row r="13" spans="1:17" ht="24" customHeight="1">
      <c r="A13" s="129"/>
      <c r="C13" s="36"/>
      <c r="D13" s="85" t="s">
        <v>1056</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304</v>
      </c>
      <c r="G13" s="89"/>
      <c r="Q13" s="23">
        <v>23</v>
      </c>
    </row>
    <row r="14" spans="1:17" ht="14.65" customHeight="1">
      <c r="A14" s="129"/>
      <c r="C14" s="36"/>
      <c r="D14" s="85" t="s">
        <v>1092</v>
      </c>
      <c r="E14" s="132"/>
      <c r="F14" s="150"/>
      <c r="G14" s="240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6" t="s">
        <v>1155</v>
      </c>
      <c r="F15" s="138"/>
      <c r="G15" s="2407"/>
      <c r="Q15" s="23">
        <v>15</v>
      </c>
    </row>
    <row r="16" spans="1:17" ht="14.65" customHeight="1">
      <c r="A16" s="129"/>
      <c r="C16" s="36"/>
      <c r="D16" s="85" t="s">
        <v>1058</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5" t="s">
        <v>304</v>
      </c>
      <c r="G16" s="274"/>
      <c r="Q16" s="23">
        <v>14</v>
      </c>
    </row>
    <row r="17" spans="1:17" ht="14.65" customHeight="1">
      <c r="A17" s="129"/>
      <c r="C17" s="36"/>
      <c r="D17" s="85" t="s">
        <v>1100</v>
      </c>
      <c r="E17" s="132"/>
      <c r="F17" s="322"/>
      <c r="G17" s="240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23">
        <v>14</v>
      </c>
    </row>
    <row r="18" spans="1:17" s="2238" customFormat="1" ht="21.95" customHeight="1">
      <c r="A18" s="280"/>
      <c r="B18" s="84"/>
      <c r="C18" s="244"/>
      <c r="D18" s="284"/>
      <c r="E18" s="286" t="s">
        <v>1156</v>
      </c>
      <c r="F18" s="275"/>
      <c r="G18" s="2407"/>
      <c r="I18" s="287"/>
      <c r="J18" s="287"/>
      <c r="Q18" s="279">
        <v>21</v>
      </c>
    </row>
    <row r="19" spans="1:17" s="2238" customFormat="1" ht="256.5" hidden="1" customHeight="1">
      <c r="A19" s="280"/>
      <c r="B19" s="354"/>
      <c r="C19" s="313"/>
      <c r="D19" s="810" t="s">
        <v>1060</v>
      </c>
      <c r="E19" s="809" t="s">
        <v>1157</v>
      </c>
      <c r="F19" s="322"/>
      <c r="G19" s="274" t="s">
        <v>1158</v>
      </c>
      <c r="I19" s="437"/>
      <c r="J19" s="437"/>
      <c r="Q19" s="693">
        <v>0</v>
      </c>
    </row>
    <row r="20" spans="1:17" s="2238" customFormat="1" ht="14.65" customHeight="1">
      <c r="A20" s="280"/>
      <c r="B20" s="84"/>
      <c r="C20" s="244"/>
      <c r="D20" s="811">
        <v>2</v>
      </c>
      <c r="E20" s="267" t="s">
        <v>1159</v>
      </c>
      <c r="F20" s="135" t="s">
        <v>304</v>
      </c>
      <c r="G20" s="274"/>
      <c r="I20" s="287"/>
      <c r="J20" s="287"/>
      <c r="Q20" s="279">
        <v>14</v>
      </c>
    </row>
    <row r="21" spans="1:17" s="2238" customFormat="1" ht="18.75" hidden="1" customHeight="1">
      <c r="A21" s="280"/>
      <c r="B21" s="84"/>
      <c r="C21" s="244"/>
      <c r="D21" s="270" t="s">
        <v>637</v>
      </c>
      <c r="E21" s="269"/>
      <c r="F21" s="268"/>
      <c r="G21" s="278"/>
      <c r="H21" s="271"/>
      <c r="I21" s="287"/>
      <c r="J21" s="287"/>
      <c r="Q21" s="279">
        <v>0</v>
      </c>
    </row>
    <row r="22" spans="1:17" ht="15.75" customHeight="1">
      <c r="A22" s="129"/>
      <c r="C22" s="36"/>
      <c r="D22" s="49"/>
      <c r="E22" s="140" t="s">
        <v>320</v>
      </c>
      <c r="F22" s="275"/>
      <c r="G22" s="276"/>
      <c r="Q22" s="23">
        <v>15</v>
      </c>
    </row>
    <row r="23" spans="1:17" s="2238" customFormat="1" ht="22.5" hidden="1" customHeight="1">
      <c r="A23" s="280"/>
      <c r="B23" s="1079"/>
      <c r="C23" s="313"/>
      <c r="D23" s="1592" t="s">
        <v>109</v>
      </c>
      <c r="E23" s="134" t="s">
        <v>1160</v>
      </c>
      <c r="F23" s="1589" t="s">
        <v>304</v>
      </c>
      <c r="G23" s="282"/>
      <c r="I23" s="1543"/>
      <c r="J23" s="1543"/>
      <c r="Q23" s="1550">
        <v>0</v>
      </c>
    </row>
    <row r="24" spans="1:17" s="2238" customFormat="1" ht="14.25" hidden="1" customHeight="1">
      <c r="A24" s="280"/>
      <c r="B24" s="1079"/>
      <c r="C24" s="313"/>
      <c r="D24" s="1592" t="s">
        <v>709</v>
      </c>
      <c r="E24" s="1591" t="s">
        <v>1161</v>
      </c>
      <c r="F24" s="1589" t="s">
        <v>304</v>
      </c>
      <c r="G24" s="274"/>
      <c r="I24" s="1543"/>
      <c r="J24" s="1543"/>
      <c r="Q24" s="1550">
        <v>0</v>
      </c>
    </row>
    <row r="25" spans="1:17" s="2238" customFormat="1" ht="14.25" hidden="1" customHeight="1">
      <c r="A25" s="280"/>
      <c r="B25" s="1079"/>
      <c r="C25" s="313"/>
      <c r="D25" s="1592" t="s">
        <v>712</v>
      </c>
      <c r="E25" s="132"/>
      <c r="F25" s="322"/>
      <c r="G25" s="2405" t="s">
        <v>1162</v>
      </c>
      <c r="I25" s="1543"/>
      <c r="J25" s="1543"/>
      <c r="Q25" s="1550">
        <v>0</v>
      </c>
    </row>
    <row r="26" spans="1:17" s="2238" customFormat="1" ht="22.5" hidden="1" customHeight="1">
      <c r="A26" s="280"/>
      <c r="B26" s="1079"/>
      <c r="C26" s="313"/>
      <c r="D26" s="284"/>
      <c r="E26" s="286" t="s">
        <v>1163</v>
      </c>
      <c r="F26" s="275"/>
      <c r="G26" s="2407"/>
      <c r="I26" s="1543"/>
      <c r="J26" s="1543"/>
      <c r="Q26" s="1550">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9"/>
      <c r="Q29" s="23">
        <v>14</v>
      </c>
    </row>
    <row r="30" spans="1:17" ht="14.65" customHeight="1">
      <c r="Q30" s="23">
        <v>14</v>
      </c>
    </row>
    <row r="31" spans="1:17" ht="14.65" customHeight="1">
      <c r="E31" s="693"/>
      <c r="Q31" s="23">
        <v>14</v>
      </c>
    </row>
    <row r="32" spans="1:17" ht="22.5" hidden="1" customHeight="1">
      <c r="A32" s="41" t="s">
        <v>81</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2271" hidden="1" customWidth="1"/>
    <col min="2" max="2" width="9.140625" style="2244" hidden="1" customWidth="1"/>
    <col min="3" max="3" width="3" style="2273" customWidth="1"/>
    <col min="4" max="4" width="6" style="2238" customWidth="1"/>
    <col min="5" max="5" width="63" style="2238" customWidth="1"/>
    <col min="6" max="6" width="1.7109375" style="2238" hidden="1" customWidth="1"/>
    <col min="7" max="8" width="35" style="2238" customWidth="1"/>
    <col min="9" max="9" width="91" style="2238" customWidth="1"/>
    <col min="10" max="10" width="68" style="2238" customWidth="1"/>
    <col min="11" max="12" width="10" style="2251" customWidth="1"/>
    <col min="13" max="13" width="10.5703125" style="2238" hidden="1"/>
  </cols>
  <sheetData>
    <row r="1" spans="1:13" ht="22.5" hidden="1" customHeight="1">
      <c r="M1" s="23" t="s">
        <v>14</v>
      </c>
    </row>
    <row r="2" spans="1:13" s="2238" customFormat="1" ht="18.75" hidden="1" customHeight="1">
      <c r="A2" s="1602"/>
      <c r="B2" s="1079"/>
      <c r="C2" s="1648" t="s">
        <v>575</v>
      </c>
      <c r="D2" s="1592"/>
      <c r="E2" s="136"/>
      <c r="F2" s="1589"/>
      <c r="G2" s="1589" t="s">
        <v>304</v>
      </c>
      <c r="H2" s="1080"/>
      <c r="K2" s="1543"/>
      <c r="L2" s="1543"/>
      <c r="M2" s="1550">
        <v>0</v>
      </c>
    </row>
    <row r="3" spans="1:13" s="2238" customFormat="1" ht="14.25" hidden="1" customHeight="1">
      <c r="A3" s="1281"/>
      <c r="B3" s="1079"/>
      <c r="C3" s="281"/>
      <c r="K3" s="1543"/>
      <c r="L3" s="1543"/>
      <c r="M3" s="1550">
        <v>0</v>
      </c>
    </row>
    <row r="4" spans="1:13" s="2238" customFormat="1" ht="18.75" hidden="1" customHeight="1">
      <c r="A4" s="1602"/>
      <c r="B4" s="1079"/>
      <c r="C4" s="1648" t="s">
        <v>575</v>
      </c>
      <c r="D4" s="1592"/>
      <c r="E4" s="142" t="s">
        <v>1164</v>
      </c>
      <c r="F4" s="1589"/>
      <c r="G4" s="194"/>
      <c r="H4" s="1589" t="s">
        <v>304</v>
      </c>
      <c r="K4" s="1543"/>
      <c r="L4" s="1543"/>
      <c r="M4" s="1550">
        <v>0</v>
      </c>
    </row>
    <row r="5" spans="1:13" s="2238" customFormat="1" ht="14.25" hidden="1" customHeight="1">
      <c r="A5" s="1281"/>
      <c r="B5" s="1079"/>
      <c r="C5" s="281"/>
      <c r="K5" s="1543"/>
      <c r="L5" s="1543"/>
      <c r="M5" s="1550">
        <v>0</v>
      </c>
    </row>
    <row r="6" spans="1:13" s="2238" customFormat="1" ht="18.75" hidden="1" customHeight="1">
      <c r="A6" s="1602"/>
      <c r="B6" s="1079"/>
      <c r="C6" s="1648" t="s">
        <v>575</v>
      </c>
      <c r="D6" s="1592"/>
      <c r="E6" s="143" t="s">
        <v>1165</v>
      </c>
      <c r="F6" s="1589"/>
      <c r="G6" s="194"/>
      <c r="H6" s="1589" t="s">
        <v>304</v>
      </c>
      <c r="K6" s="1543"/>
      <c r="L6" s="1543"/>
      <c r="M6" s="1550">
        <v>0</v>
      </c>
    </row>
    <row r="7" spans="1:13" s="2238" customFormat="1" ht="14.25" hidden="1" customHeight="1">
      <c r="A7" s="1281"/>
      <c r="B7" s="1079"/>
      <c r="C7" s="281"/>
      <c r="K7" s="1543"/>
      <c r="L7" s="1543"/>
      <c r="M7" s="1550">
        <v>0</v>
      </c>
    </row>
    <row r="8" spans="1:13" s="2238" customFormat="1" ht="18.75" hidden="1" customHeight="1">
      <c r="A8" s="1602"/>
      <c r="B8" s="1079"/>
      <c r="C8" s="1648" t="s">
        <v>575</v>
      </c>
      <c r="D8" s="1592"/>
      <c r="E8" s="143" t="s">
        <v>1166</v>
      </c>
      <c r="F8" s="1589"/>
      <c r="G8" s="194"/>
      <c r="H8" s="1589" t="s">
        <v>304</v>
      </c>
      <c r="K8" s="1543"/>
      <c r="L8" s="1543"/>
      <c r="M8" s="1550">
        <v>0</v>
      </c>
    </row>
    <row r="9" spans="1:13" s="2238" customFormat="1" ht="14.25" hidden="1" customHeight="1">
      <c r="A9" s="1281"/>
      <c r="B9" s="1079"/>
      <c r="C9" s="281"/>
      <c r="K9" s="1543"/>
      <c r="L9" s="1543"/>
      <c r="M9" s="1550">
        <v>0</v>
      </c>
    </row>
    <row r="10" spans="1:13" s="2238" customFormat="1" ht="18.75" hidden="1" customHeight="1">
      <c r="A10" s="1602"/>
      <c r="B10" s="1079"/>
      <c r="C10" s="1648" t="s">
        <v>575</v>
      </c>
      <c r="D10" s="1592"/>
      <c r="E10" s="143" t="s">
        <v>1167</v>
      </c>
      <c r="F10" s="1589"/>
      <c r="G10" s="1593"/>
      <c r="H10" s="1589" t="s">
        <v>304</v>
      </c>
      <c r="K10" s="1543"/>
      <c r="L10" s="1543" t="s">
        <v>1168</v>
      </c>
      <c r="M10" s="1550">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393"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394"/>
      <c r="F14" s="2394"/>
      <c r="G14" s="2394"/>
      <c r="H14" s="2395"/>
      <c r="J14" s="1550"/>
      <c r="M14" s="23">
        <v>28</v>
      </c>
    </row>
    <row r="15" spans="1:13" s="2238" customFormat="1" ht="14.65" customHeight="1">
      <c r="A15" s="1281"/>
      <c r="B15" s="1079"/>
      <c r="C15" s="313"/>
      <c r="D15" s="2447" t="str">
        <f>IF(org=0,"Не определено",org)</f>
        <v>МУП "Водоканал"</v>
      </c>
      <c r="E15" s="2448"/>
      <c r="F15" s="2448"/>
      <c r="G15" s="2448"/>
      <c r="H15" s="2449"/>
      <c r="J15" s="779"/>
      <c r="K15" s="1543"/>
      <c r="L15" s="1543"/>
      <c r="M15" s="1550">
        <v>14</v>
      </c>
    </row>
    <row r="16" spans="1:13" ht="14.65" customHeight="1">
      <c r="C16" s="36"/>
      <c r="D16" s="24"/>
      <c r="E16" s="35"/>
      <c r="F16" s="35"/>
      <c r="G16" s="35"/>
      <c r="H16" s="689"/>
      <c r="I16" s="130"/>
      <c r="M16" s="23">
        <v>14</v>
      </c>
    </row>
    <row r="17" spans="1:13" s="2238" customFormat="1" ht="14.25" hidden="1" customHeight="1">
      <c r="A17" s="1281"/>
      <c r="B17" s="1079"/>
      <c r="C17" s="313"/>
      <c r="D17" s="300"/>
      <c r="E17" s="326"/>
      <c r="F17" s="326"/>
      <c r="G17" s="326"/>
      <c r="H17" s="689"/>
      <c r="I17" s="130"/>
      <c r="K17" s="1543"/>
      <c r="L17" s="1543"/>
      <c r="M17" s="1550">
        <v>0</v>
      </c>
    </row>
    <row r="18" spans="1:13" ht="21.95" customHeight="1">
      <c r="C18" s="36"/>
      <c r="D18" s="2442" t="s">
        <v>298</v>
      </c>
      <c r="E18" s="2442"/>
      <c r="F18" s="2442"/>
      <c r="G18" s="2442"/>
      <c r="H18" s="2442"/>
      <c r="I18" s="2585" t="s">
        <v>299</v>
      </c>
      <c r="M18" s="23">
        <v>21</v>
      </c>
    </row>
    <row r="19" spans="1:13" ht="21.95" customHeight="1">
      <c r="C19" s="36"/>
      <c r="D19" s="45" t="s">
        <v>87</v>
      </c>
      <c r="E19" s="48" t="s">
        <v>300</v>
      </c>
      <c r="F19" s="48"/>
      <c r="G19" s="48" t="s">
        <v>301</v>
      </c>
      <c r="H19" s="48" t="s">
        <v>388</v>
      </c>
      <c r="I19" s="2585"/>
      <c r="M19" s="23">
        <v>21</v>
      </c>
    </row>
    <row r="20" spans="1:13" ht="12" hidden="1" customHeight="1">
      <c r="C20" s="36"/>
      <c r="D20" s="27"/>
      <c r="E20" s="27"/>
      <c r="F20" s="27"/>
      <c r="G20" s="27"/>
      <c r="H20" s="27"/>
      <c r="I20" s="27"/>
      <c r="M20" s="23">
        <v>0</v>
      </c>
    </row>
    <row r="21" spans="1:13" ht="14.65" customHeight="1">
      <c r="A21" s="1602"/>
      <c r="C21" s="36"/>
      <c r="D21" s="85">
        <v>1</v>
      </c>
      <c r="E21" s="2682" t="s">
        <v>1169</v>
      </c>
      <c r="F21" s="2682"/>
      <c r="G21" s="2682"/>
      <c r="H21" s="2682"/>
      <c r="I21" s="145"/>
      <c r="M21" s="23">
        <v>14</v>
      </c>
    </row>
    <row r="22" spans="1:13" ht="21" customHeight="1">
      <c r="A22" s="1602"/>
      <c r="C22" s="36"/>
      <c r="D22" s="85" t="s">
        <v>1056</v>
      </c>
      <c r="E22" s="131" t="s">
        <v>1170</v>
      </c>
      <c r="F22" s="135"/>
      <c r="G22" s="1655"/>
      <c r="H22" s="135" t="s">
        <v>304</v>
      </c>
      <c r="I22" s="89" t="s">
        <v>1171</v>
      </c>
      <c r="M22" s="23">
        <v>20</v>
      </c>
    </row>
    <row r="23" spans="1:13" ht="60" customHeight="1">
      <c r="A23" s="1602"/>
      <c r="C23" s="36"/>
      <c r="D23" s="85" t="s">
        <v>1058</v>
      </c>
      <c r="E23" s="131" t="s">
        <v>1172</v>
      </c>
      <c r="F23" s="135"/>
      <c r="G23" s="194"/>
      <c r="H23" s="150"/>
      <c r="I23" s="195" t="s">
        <v>1173</v>
      </c>
      <c r="M23" s="23">
        <v>57</v>
      </c>
    </row>
    <row r="24" spans="1:13" ht="14.65" customHeight="1">
      <c r="A24" s="1602"/>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5"/>
      <c r="G24" s="135" t="s">
        <v>304</v>
      </c>
      <c r="H24" s="150"/>
      <c r="I24" s="196" t="s">
        <v>632</v>
      </c>
      <c r="M24" s="23">
        <v>14</v>
      </c>
    </row>
    <row r="25" spans="1:13" ht="48.2" customHeight="1">
      <c r="A25" s="1602"/>
      <c r="C25" s="36"/>
      <c r="D25" s="85">
        <v>3</v>
      </c>
      <c r="E25" s="268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682"/>
      <c r="G25" s="2682"/>
      <c r="H25" s="2682"/>
      <c r="I25" s="193"/>
      <c r="M25" s="23">
        <v>46</v>
      </c>
    </row>
    <row r="26" spans="1:13" ht="14.65" customHeight="1">
      <c r="A26" s="1602"/>
      <c r="C26" s="36"/>
      <c r="D26" s="85" t="s">
        <v>322</v>
      </c>
      <c r="E26" s="136"/>
      <c r="F26" s="135"/>
      <c r="G26" s="135" t="s">
        <v>304</v>
      </c>
      <c r="H26" s="150"/>
      <c r="I26" s="2405" t="s">
        <v>1174</v>
      </c>
      <c r="M26" s="23">
        <v>14</v>
      </c>
    </row>
    <row r="27" spans="1:13" ht="15.75" customHeight="1">
      <c r="A27" s="1602" t="s">
        <v>108</v>
      </c>
      <c r="C27" s="36"/>
      <c r="D27" s="49"/>
      <c r="E27" s="140" t="s">
        <v>320</v>
      </c>
      <c r="F27" s="141"/>
      <c r="G27" s="141"/>
      <c r="H27" s="138"/>
      <c r="I27" s="2407"/>
      <c r="M27" s="23">
        <v>15</v>
      </c>
    </row>
    <row r="28" spans="1:13" ht="39.75" customHeight="1">
      <c r="A28" s="1602"/>
      <c r="B28" s="84">
        <v>3</v>
      </c>
      <c r="C28" s="36"/>
      <c r="D28" s="85">
        <v>4</v>
      </c>
      <c r="E28" s="268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682"/>
      <c r="G28" s="2682"/>
      <c r="H28" s="2682"/>
      <c r="I28" s="193"/>
      <c r="M28" s="23">
        <v>38</v>
      </c>
    </row>
    <row r="29" spans="1:13" ht="21" customHeight="1">
      <c r="A29" s="1602"/>
      <c r="C29" s="36"/>
      <c r="D29" s="85" t="s">
        <v>754</v>
      </c>
      <c r="E29" s="142" t="s">
        <v>1164</v>
      </c>
      <c r="F29" s="135"/>
      <c r="G29" s="194"/>
      <c r="H29" s="135" t="s">
        <v>304</v>
      </c>
      <c r="I29" s="2405" t="s">
        <v>1175</v>
      </c>
      <c r="M29" s="23">
        <v>20</v>
      </c>
    </row>
    <row r="30" spans="1:13" ht="15.75" customHeight="1">
      <c r="A30" s="1602" t="s">
        <v>109</v>
      </c>
      <c r="C30" s="36"/>
      <c r="D30" s="49"/>
      <c r="E30" s="140" t="s">
        <v>320</v>
      </c>
      <c r="F30" s="141"/>
      <c r="G30" s="141"/>
      <c r="H30" s="138"/>
      <c r="I30" s="2407"/>
      <c r="M30" s="23">
        <v>15</v>
      </c>
    </row>
    <row r="31" spans="1:13" ht="31.5" customHeight="1">
      <c r="A31" s="1602"/>
      <c r="B31" s="84">
        <v>3</v>
      </c>
      <c r="C31" s="36"/>
      <c r="D31" s="85">
        <v>5</v>
      </c>
      <c r="E31" s="268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682"/>
      <c r="G31" s="2682"/>
      <c r="H31" s="2682"/>
      <c r="I31" s="193"/>
      <c r="M31" s="23">
        <v>30</v>
      </c>
    </row>
    <row r="32" spans="1:13" ht="27.4" customHeight="1">
      <c r="A32" s="1602"/>
      <c r="C32" s="36"/>
      <c r="D32" s="85" t="s">
        <v>311</v>
      </c>
      <c r="E32" s="259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596"/>
      <c r="G32" s="2596"/>
      <c r="H32" s="2596"/>
      <c r="I32" s="193"/>
      <c r="M32" s="23">
        <v>26</v>
      </c>
    </row>
    <row r="33" spans="1:13" ht="14.65" customHeight="1">
      <c r="A33" s="1602"/>
      <c r="C33" s="36"/>
      <c r="D33" s="85" t="s">
        <v>1176</v>
      </c>
      <c r="E33" s="143" t="s">
        <v>1165</v>
      </c>
      <c r="F33" s="135"/>
      <c r="G33" s="194"/>
      <c r="H33" s="135" t="s">
        <v>304</v>
      </c>
      <c r="I33" s="2405" t="s">
        <v>1177</v>
      </c>
      <c r="M33" s="23">
        <v>14</v>
      </c>
    </row>
    <row r="34" spans="1:13" ht="15.75" customHeight="1">
      <c r="A34" s="1602" t="s">
        <v>89</v>
      </c>
      <c r="C34" s="36"/>
      <c r="D34" s="49"/>
      <c r="E34" s="141" t="s">
        <v>320</v>
      </c>
      <c r="F34" s="137"/>
      <c r="G34" s="137"/>
      <c r="H34" s="138"/>
      <c r="I34" s="2407"/>
      <c r="M34" s="23">
        <v>15</v>
      </c>
    </row>
    <row r="35" spans="1:13" ht="25.15" customHeight="1">
      <c r="A35" s="1602"/>
      <c r="C35" s="36"/>
      <c r="D35" s="85" t="s">
        <v>882</v>
      </c>
      <c r="E35" s="259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596"/>
      <c r="G35" s="2596"/>
      <c r="H35" s="2596"/>
      <c r="I35" s="193"/>
      <c r="M35" s="23">
        <v>24</v>
      </c>
    </row>
    <row r="36" spans="1:13" ht="14.65" customHeight="1">
      <c r="A36" s="1602"/>
      <c r="C36" s="36"/>
      <c r="D36" s="85" t="s">
        <v>1178</v>
      </c>
      <c r="E36" s="143" t="s">
        <v>1166</v>
      </c>
      <c r="F36" s="135"/>
      <c r="G36" s="194"/>
      <c r="H36" s="135" t="s">
        <v>304</v>
      </c>
      <c r="I36" s="2379" t="s">
        <v>1179</v>
      </c>
      <c r="M36" s="23">
        <v>14</v>
      </c>
    </row>
    <row r="37" spans="1:13" ht="15.75" customHeight="1">
      <c r="A37" s="1602" t="s">
        <v>90</v>
      </c>
      <c r="C37" s="36"/>
      <c r="D37" s="49"/>
      <c r="E37" s="141" t="s">
        <v>320</v>
      </c>
      <c r="F37" s="137"/>
      <c r="G37" s="137"/>
      <c r="H37" s="138"/>
      <c r="I37" s="2379"/>
      <c r="M37" s="23">
        <v>15</v>
      </c>
    </row>
    <row r="38" spans="1:13" ht="27.4" customHeight="1">
      <c r="A38" s="1602"/>
      <c r="C38" s="36"/>
      <c r="D38" s="85" t="s">
        <v>883</v>
      </c>
      <c r="E38" s="259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596"/>
      <c r="G38" s="2596"/>
      <c r="H38" s="2596"/>
      <c r="I38" s="193"/>
      <c r="M38" s="23">
        <v>26</v>
      </c>
    </row>
    <row r="39" spans="1:13" ht="14.65" customHeight="1">
      <c r="A39" s="1602"/>
      <c r="C39" s="36"/>
      <c r="D39" s="85" t="s">
        <v>884</v>
      </c>
      <c r="E39" s="143" t="s">
        <v>1167</v>
      </c>
      <c r="F39" s="135"/>
      <c r="G39" s="144"/>
      <c r="H39" s="135" t="s">
        <v>304</v>
      </c>
      <c r="I39" s="2405" t="s">
        <v>1180</v>
      </c>
      <c r="L39" s="93" t="s">
        <v>1168</v>
      </c>
      <c r="M39" s="23">
        <v>14</v>
      </c>
    </row>
    <row r="40" spans="1:13" ht="15.75" customHeight="1">
      <c r="A40" s="1602" t="s">
        <v>110</v>
      </c>
      <c r="C40" s="36"/>
      <c r="D40" s="49"/>
      <c r="E40" s="141" t="s">
        <v>320</v>
      </c>
      <c r="F40" s="137"/>
      <c r="G40" s="137"/>
      <c r="H40" s="138"/>
      <c r="I40" s="2407"/>
      <c r="M40" s="23">
        <v>15</v>
      </c>
    </row>
    <row r="41" spans="1:13" s="2294" customFormat="1" ht="3" customHeight="1">
      <c r="A41" s="1602"/>
      <c r="K41" s="133"/>
      <c r="L41" s="133"/>
      <c r="M41" s="79">
        <v>3</v>
      </c>
    </row>
    <row r="42" spans="1:13" ht="26.25" customHeight="1">
      <c r="D42" s="1600" t="s">
        <v>804</v>
      </c>
      <c r="E42" s="250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503"/>
      <c r="G42" s="2503"/>
      <c r="H42" s="2503"/>
      <c r="I42" s="2503"/>
      <c r="M42" s="23">
        <v>25</v>
      </c>
    </row>
    <row r="43" spans="1:13" ht="22.5" hidden="1" customHeight="1">
      <c r="A43" s="1281" t="s">
        <v>81</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2295" hidden="1" customWidth="1"/>
    <col min="3" max="3" width="9.140625" style="2296" hidden="1" customWidth="1"/>
    <col min="4" max="4" width="3" style="2273" customWidth="1"/>
    <col min="5" max="5" width="6" style="2238" customWidth="1"/>
    <col min="6" max="6" width="46.7109375" style="2238" customWidth="1"/>
    <col min="7" max="7" width="35" style="2238" customWidth="1"/>
    <col min="8" max="8" width="3" style="2238" customWidth="1"/>
    <col min="9" max="10" width="11" style="2238" customWidth="1"/>
    <col min="11" max="12" width="35" style="2238" customWidth="1"/>
    <col min="13" max="13" width="84" style="2238" customWidth="1"/>
    <col min="14" max="14" width="10" style="2238" customWidth="1"/>
    <col min="15" max="16" width="10" style="2251" customWidth="1"/>
    <col min="17" max="33" width="10" style="2238" customWidth="1"/>
    <col min="34" max="34" width="10.5703125" style="2238" hidden="1"/>
  </cols>
  <sheetData>
    <row r="1" spans="1:34" s="2238" customFormat="1" ht="22.5" hidden="1" customHeight="1">
      <c r="A1" s="1697"/>
      <c r="B1" s="1697"/>
      <c r="C1" s="306"/>
      <c r="D1" s="281"/>
      <c r="N1" s="1555">
        <f>IFERROR(MATCH("метод экономически обоснованных расходов (затрат)",OFFER_METHOD,0),0)</f>
        <v>0</v>
      </c>
      <c r="O1" s="1543"/>
      <c r="P1" s="1543"/>
      <c r="T1" s="762"/>
      <c r="AG1" s="192"/>
      <c r="AH1" s="1550" t="s">
        <v>14</v>
      </c>
    </row>
    <row r="2" spans="1:34" s="2238" customFormat="1" ht="18.75" hidden="1" customHeight="1">
      <c r="A2" s="1698" t="s">
        <v>155</v>
      </c>
      <c r="B2" s="1698" t="s">
        <v>156</v>
      </c>
      <c r="C2" s="306"/>
      <c r="D2" s="281"/>
      <c r="E2" s="955"/>
      <c r="F2" s="955"/>
      <c r="G2" s="2659" t="str">
        <f>INDEX(PT_DIFFERENTIATION_NTAR,MATCH(B2,PT_DIFFERENTIATION_NTAR_ID,0))</f>
        <v/>
      </c>
      <c r="H2" s="1780"/>
      <c r="I2" s="1657"/>
      <c r="J2" s="1691"/>
      <c r="K2" s="1781"/>
      <c r="L2" s="1780" t="s">
        <v>304</v>
      </c>
      <c r="M2" s="1791"/>
      <c r="N2" s="271"/>
      <c r="O2" s="1543"/>
      <c r="P2" s="1543"/>
      <c r="AH2" s="1550">
        <v>0</v>
      </c>
    </row>
    <row r="3" spans="1:34" s="2238" customFormat="1" ht="18.75" hidden="1" customHeight="1">
      <c r="A3" s="1698"/>
      <c r="B3" s="1698"/>
      <c r="C3" s="306" t="s">
        <v>1181</v>
      </c>
      <c r="D3" s="281"/>
      <c r="E3" s="955"/>
      <c r="F3" s="955"/>
      <c r="G3" s="2659"/>
      <c r="H3" s="1419"/>
      <c r="I3" s="588" t="s">
        <v>1182</v>
      </c>
      <c r="J3" s="508"/>
      <c r="K3" s="1419"/>
      <c r="L3" s="151"/>
      <c r="M3" s="1791"/>
      <c r="N3" s="271"/>
      <c r="O3" s="1543"/>
      <c r="P3" s="1543"/>
      <c r="AH3" s="1550">
        <v>0</v>
      </c>
    </row>
    <row r="4" spans="1:34" s="2238" customFormat="1" ht="14.25" hidden="1" customHeight="1">
      <c r="A4" s="1697"/>
      <c r="B4" s="1697"/>
      <c r="C4" s="306"/>
      <c r="D4" s="281"/>
      <c r="N4" s="1555">
        <f>IFERROR(MATCH("метод экономически обоснованных расходов (затрат)",OFFER_METHOD,0),0)</f>
        <v>0</v>
      </c>
      <c r="O4" s="1543"/>
      <c r="P4" s="1543"/>
      <c r="T4" s="762"/>
      <c r="AG4" s="192"/>
      <c r="AH4" s="1550">
        <v>0</v>
      </c>
    </row>
    <row r="5" spans="1:34" s="2238" customFormat="1" ht="18.75" hidden="1" customHeight="1">
      <c r="A5" s="1698" t="s">
        <v>155</v>
      </c>
      <c r="B5" s="1698" t="s">
        <v>156</v>
      </c>
      <c r="C5" s="306"/>
      <c r="D5" s="281"/>
      <c r="E5" s="955"/>
      <c r="F5" s="955"/>
      <c r="G5" s="2659" t="str">
        <f>INDEX(PT_DIFFERENTIATION_NTAR,MATCH(B5,PT_DIFFERENTIATION_NTAR_ID,0))</f>
        <v/>
      </c>
      <c r="H5" s="1780"/>
      <c r="I5" s="1657"/>
      <c r="J5" s="1691"/>
      <c r="K5" s="1696"/>
      <c r="L5" s="1780" t="s">
        <v>304</v>
      </c>
      <c r="M5" s="1791"/>
      <c r="N5" s="271"/>
      <c r="O5" s="1543"/>
      <c r="P5" s="1543"/>
      <c r="AH5" s="1550">
        <v>0</v>
      </c>
    </row>
    <row r="6" spans="1:34" s="2238" customFormat="1" ht="18.75" hidden="1" customHeight="1">
      <c r="A6" s="1698"/>
      <c r="B6" s="1698"/>
      <c r="C6" s="306" t="s">
        <v>1183</v>
      </c>
      <c r="D6" s="281"/>
      <c r="E6" s="955"/>
      <c r="F6" s="955"/>
      <c r="G6" s="2659"/>
      <c r="H6" s="1419"/>
      <c r="I6" s="588" t="s">
        <v>1182</v>
      </c>
      <c r="J6" s="508"/>
      <c r="K6" s="1419"/>
      <c r="L6" s="151"/>
      <c r="M6" s="1791"/>
      <c r="N6" s="271"/>
      <c r="O6" s="1543"/>
      <c r="P6" s="1543"/>
      <c r="AH6" s="1550">
        <v>0</v>
      </c>
    </row>
    <row r="7" spans="1:34" s="2238" customFormat="1" ht="14.25" hidden="1" customHeight="1">
      <c r="A7" s="1697"/>
      <c r="B7" s="1697"/>
      <c r="C7" s="306"/>
      <c r="D7" s="281"/>
      <c r="N7" s="1555">
        <f>IFERROR(MATCH("метод экономически обоснованных расходов (затрат)",OFFER_METHOD,0),0)</f>
        <v>0</v>
      </c>
      <c r="O7" s="1543"/>
      <c r="P7" s="1543"/>
      <c r="T7" s="762"/>
      <c r="AG7" s="192"/>
      <c r="AH7" s="1550">
        <v>0</v>
      </c>
    </row>
    <row r="8" spans="1:34" s="2238" customFormat="1" ht="56.25" hidden="1" customHeight="1">
      <c r="A8" s="1698"/>
      <c r="B8" s="1698"/>
      <c r="C8" s="306"/>
      <c r="D8" s="281"/>
      <c r="E8" s="955"/>
      <c r="F8" s="955"/>
      <c r="G8" s="955"/>
      <c r="H8" s="1689"/>
      <c r="I8" s="1657"/>
      <c r="J8" s="1691"/>
      <c r="K8" s="1781"/>
      <c r="L8" s="1689" t="s">
        <v>304</v>
      </c>
      <c r="M8" s="1791"/>
      <c r="N8" s="271"/>
      <c r="O8" s="1543"/>
      <c r="P8" s="1543"/>
      <c r="AH8" s="1550">
        <v>0</v>
      </c>
    </row>
    <row r="9" spans="1:34" ht="14.25" hidden="1" customHeight="1">
      <c r="T9" s="334"/>
      <c r="AG9" s="192"/>
      <c r="AH9" s="311">
        <v>0</v>
      </c>
    </row>
    <row r="10" spans="1:34" s="2238" customFormat="1" ht="56.25" hidden="1" customHeight="1">
      <c r="A10" s="1698"/>
      <c r="B10" s="1698"/>
      <c r="C10" s="306"/>
      <c r="D10" s="281"/>
      <c r="E10" s="955"/>
      <c r="F10" s="955"/>
      <c r="G10" s="955"/>
      <c r="H10" s="1688"/>
      <c r="I10" s="1657"/>
      <c r="J10" s="1691"/>
      <c r="K10" s="1696"/>
      <c r="L10" s="1689" t="s">
        <v>304</v>
      </c>
      <c r="M10" s="1791"/>
      <c r="N10" s="271"/>
      <c r="O10" s="1543"/>
      <c r="P10" s="1543"/>
      <c r="AH10" s="1550">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68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686"/>
      <c r="G14" s="2686"/>
      <c r="H14" s="2686"/>
      <c r="I14" s="2686"/>
      <c r="J14" s="2686"/>
      <c r="K14" s="2686"/>
      <c r="L14" s="2686"/>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485" t="str">
        <f>IF(TITLE_DATE_PR_CHANGE="",IF(TITLE_DATE_PR="","",TITLE_DATE_PR),TITLE_DATE_PR_CHANGE)</f>
        <v/>
      </c>
      <c r="H16" s="2485"/>
      <c r="I16" s="2485"/>
      <c r="J16" s="2485"/>
      <c r="K16" s="2485"/>
      <c r="L16" s="2485"/>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476" t="str">
        <f>IF(TITLE_NUMBER_PR_CHANGE="",IF(TITLE_NUMBER_PR="","",TITLE_NUMBER_PR),TITLE_NUMBER_PR_CHANGE)</f>
        <v/>
      </c>
      <c r="H17" s="2476"/>
      <c r="I17" s="2476"/>
      <c r="J17" s="2476"/>
      <c r="K17" s="2476"/>
      <c r="L17" s="2476"/>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442" t="s">
        <v>298</v>
      </c>
      <c r="F19" s="2442"/>
      <c r="G19" s="2442"/>
      <c r="H19" s="2442"/>
      <c r="I19" s="2442"/>
      <c r="J19" s="2442"/>
      <c r="K19" s="2442"/>
      <c r="L19" s="2442"/>
      <c r="M19" s="2585" t="s">
        <v>299</v>
      </c>
      <c r="AH19" s="311">
        <v>21</v>
      </c>
    </row>
    <row r="20" spans="1:34" ht="21.95" customHeight="1">
      <c r="D20" s="313"/>
      <c r="E20" s="2495" t="s">
        <v>87</v>
      </c>
      <c r="F20" s="2456" t="s">
        <v>122</v>
      </c>
      <c r="G20" s="2456" t="s">
        <v>123</v>
      </c>
      <c r="H20" s="2582" t="s">
        <v>1184</v>
      </c>
      <c r="I20" s="2583"/>
      <c r="J20" s="2663"/>
      <c r="K20" s="2456" t="s">
        <v>301</v>
      </c>
      <c r="L20" s="2456" t="s">
        <v>388</v>
      </c>
      <c r="M20" s="2585"/>
      <c r="AH20" s="311">
        <v>21</v>
      </c>
    </row>
    <row r="21" spans="1:34" ht="21.95" customHeight="1">
      <c r="D21" s="313"/>
      <c r="E21" s="2497"/>
      <c r="F21" s="2457"/>
      <c r="G21" s="2457"/>
      <c r="H21" s="2451" t="s">
        <v>1185</v>
      </c>
      <c r="I21" s="2453"/>
      <c r="J21" s="48" t="s">
        <v>1186</v>
      </c>
      <c r="K21" s="2457"/>
      <c r="L21" s="2457"/>
      <c r="M21" s="2585"/>
      <c r="AH21" s="311">
        <v>21</v>
      </c>
    </row>
    <row r="22" spans="1:34" ht="12.75" customHeight="1">
      <c r="D22" s="313"/>
      <c r="E22" s="218"/>
      <c r="F22" s="218"/>
      <c r="G22" s="218"/>
      <c r="H22" s="2688"/>
      <c r="I22" s="2688"/>
      <c r="J22" s="218"/>
      <c r="K22" s="218"/>
      <c r="L22" s="218"/>
      <c r="M22" s="218"/>
      <c r="AH22" s="311">
        <v>12</v>
      </c>
    </row>
    <row r="23" spans="1:34" ht="19.899999999999999" customHeight="1">
      <c r="A23" s="1698"/>
      <c r="B23" s="1698"/>
      <c r="D23" s="313"/>
      <c r="E23" s="1782" t="s">
        <v>108</v>
      </c>
      <c r="F23" s="2689" t="str">
        <f>"Предлагаемый метод регулирования"&amp;IF(TEMPLATE_SPHERE="HEAT"," в сфере "&amp;TEMPLATE_SPHERE_RUS,"")</f>
        <v>Предлагаемый метод регулирования</v>
      </c>
      <c r="G23" s="2689"/>
      <c r="H23" s="2682"/>
      <c r="I23" s="2682"/>
      <c r="J23" s="2682"/>
      <c r="K23" s="2689" t="s">
        <v>304</v>
      </c>
      <c r="L23" s="2682"/>
      <c r="M23" s="1687"/>
      <c r="N23" s="271"/>
      <c r="AH23" s="311">
        <v>19</v>
      </c>
    </row>
    <row r="24" spans="1:34" ht="60.75" hidden="1" customHeight="1">
      <c r="A24" s="1698" t="s">
        <v>155</v>
      </c>
      <c r="B24" s="1698" t="s">
        <v>156</v>
      </c>
      <c r="D24" s="2687"/>
      <c r="E24" s="2437"/>
      <c r="F24" s="269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659" t="str">
        <f>INDEX(PT_DIFFERENTIATION_NTAR,MATCH(B24,PT_DIFFERENTIATION_NTAR_ID,0))</f>
        <v/>
      </c>
      <c r="H24" s="1778"/>
      <c r="I24" s="1657"/>
      <c r="J24" s="1691"/>
      <c r="K24" s="1781"/>
      <c r="L24" s="1686" t="s">
        <v>304</v>
      </c>
      <c r="M24" s="240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2238" customFormat="1" ht="18.75" hidden="1" customHeight="1">
      <c r="A25" s="1698"/>
      <c r="B25" s="1698"/>
      <c r="C25" s="306" t="s">
        <v>1181</v>
      </c>
      <c r="D25" s="2687"/>
      <c r="E25" s="2437"/>
      <c r="F25" s="2690"/>
      <c r="G25" s="2659"/>
      <c r="H25" s="1419"/>
      <c r="I25" s="588" t="s">
        <v>1182</v>
      </c>
      <c r="J25" s="508"/>
      <c r="K25" s="1419"/>
      <c r="L25" s="151"/>
      <c r="M25" s="2406"/>
      <c r="N25" s="271"/>
      <c r="O25" s="1543"/>
      <c r="P25" s="1543"/>
      <c r="AH25" s="1550">
        <v>0</v>
      </c>
    </row>
    <row r="26" spans="1:34" ht="0.75" hidden="1" customHeight="1">
      <c r="A26" s="1698"/>
      <c r="B26" s="1698"/>
      <c r="C26" s="306" t="s">
        <v>1187</v>
      </c>
      <c r="D26" s="2687"/>
      <c r="E26" s="2437"/>
      <c r="F26" s="2580"/>
      <c r="G26" s="337"/>
      <c r="H26" s="1419"/>
      <c r="I26" s="332"/>
      <c r="J26" s="286"/>
      <c r="K26" s="1419"/>
      <c r="L26" s="138"/>
      <c r="M26" s="2406"/>
      <c r="N26" s="271"/>
      <c r="AH26" s="311">
        <v>0</v>
      </c>
    </row>
    <row r="27" spans="1:34" s="2238" customFormat="1" ht="45" hidden="1" customHeight="1">
      <c r="A27" s="1698" t="s">
        <v>160</v>
      </c>
      <c r="B27" s="1698" t="s">
        <v>161</v>
      </c>
      <c r="C27" s="306"/>
      <c r="D27" s="2683"/>
      <c r="E27" s="2684"/>
      <c r="F27" s="2685" t="str">
        <f>INDEX(PT_DIFFERENTIATION_VTAR,MATCH(A27,PT_DIFFERENTIATION_VTAR_ID,0))</f>
        <v/>
      </c>
      <c r="G27" s="2659" t="str">
        <f>INDEX(PT_DIFFERENTIATION_NTAR,MATCH(B27,PT_DIFFERENTIATION_NTAR_ID,0))</f>
        <v/>
      </c>
      <c r="H27" s="1778"/>
      <c r="I27" s="1657"/>
      <c r="J27" s="1691"/>
      <c r="K27" s="1781"/>
      <c r="L27" s="1778" t="s">
        <v>304</v>
      </c>
      <c r="M27" s="2406"/>
      <c r="N27" s="271"/>
      <c r="O27" s="1543"/>
      <c r="P27" s="1543"/>
      <c r="AH27" s="1550">
        <v>0</v>
      </c>
    </row>
    <row r="28" spans="1:34" s="2238" customFormat="1" ht="18.75" hidden="1" customHeight="1">
      <c r="A28" s="1698"/>
      <c r="B28" s="1698"/>
      <c r="C28" s="306" t="s">
        <v>1181</v>
      </c>
      <c r="D28" s="2683"/>
      <c r="E28" s="2684"/>
      <c r="F28" s="2685"/>
      <c r="G28" s="2659"/>
      <c r="H28" s="1419"/>
      <c r="I28" s="588" t="s">
        <v>1182</v>
      </c>
      <c r="J28" s="508"/>
      <c r="K28" s="1419"/>
      <c r="L28" s="151"/>
      <c r="M28" s="2406"/>
      <c r="N28" s="271"/>
      <c r="O28" s="1543"/>
      <c r="P28" s="1543"/>
      <c r="AH28" s="1550">
        <v>0</v>
      </c>
    </row>
    <row r="29" spans="1:34" s="2238" customFormat="1" ht="0.75" hidden="1" customHeight="1">
      <c r="A29" s="1698"/>
      <c r="B29" s="1698"/>
      <c r="C29" s="306" t="s">
        <v>1187</v>
      </c>
      <c r="D29" s="2683"/>
      <c r="E29" s="2437"/>
      <c r="F29" s="2580"/>
      <c r="G29" s="337"/>
      <c r="H29" s="1419"/>
      <c r="I29" s="588"/>
      <c r="J29" s="508"/>
      <c r="K29" s="1419"/>
      <c r="L29" s="151"/>
      <c r="M29" s="2406"/>
      <c r="N29" s="271"/>
      <c r="O29" s="1543"/>
      <c r="P29" s="1543"/>
      <c r="AH29" s="1550">
        <v>0</v>
      </c>
    </row>
    <row r="30" spans="1:34" s="2238" customFormat="1" ht="45" hidden="1" customHeight="1">
      <c r="A30" s="1698" t="s">
        <v>167</v>
      </c>
      <c r="B30" s="1698" t="s">
        <v>168</v>
      </c>
      <c r="C30" s="306"/>
      <c r="D30" s="2683"/>
      <c r="E30" s="2437"/>
      <c r="F30" s="258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659" t="str">
        <f>INDEX(PT_DIFFERENTIATION_NTAR,MATCH(B30,PT_DIFFERENTIATION_NTAR_ID,0))</f>
        <v/>
      </c>
      <c r="H30" s="1778"/>
      <c r="I30" s="1657"/>
      <c r="J30" s="1691"/>
      <c r="K30" s="1781"/>
      <c r="L30" s="1778" t="s">
        <v>304</v>
      </c>
      <c r="M30" s="2406"/>
      <c r="N30" s="271"/>
      <c r="O30" s="1543"/>
      <c r="P30" s="1543"/>
      <c r="AH30" s="1550">
        <v>0</v>
      </c>
    </row>
    <row r="31" spans="1:34" s="2238" customFormat="1" ht="18.75" hidden="1" customHeight="1">
      <c r="A31" s="1698"/>
      <c r="B31" s="1698"/>
      <c r="C31" s="306" t="s">
        <v>1181</v>
      </c>
      <c r="D31" s="2683"/>
      <c r="E31" s="2437"/>
      <c r="F31" s="2580"/>
      <c r="G31" s="2659"/>
      <c r="H31" s="1419"/>
      <c r="I31" s="588" t="s">
        <v>1182</v>
      </c>
      <c r="J31" s="508"/>
      <c r="K31" s="1419"/>
      <c r="L31" s="151"/>
      <c r="M31" s="2406"/>
      <c r="N31" s="271"/>
      <c r="O31" s="1543"/>
      <c r="P31" s="1543"/>
      <c r="AH31" s="1550">
        <v>0</v>
      </c>
    </row>
    <row r="32" spans="1:34" s="2238" customFormat="1" ht="0.75" hidden="1" customHeight="1">
      <c r="A32" s="1698"/>
      <c r="B32" s="1698"/>
      <c r="C32" s="306" t="s">
        <v>1187</v>
      </c>
      <c r="D32" s="2683"/>
      <c r="E32" s="2437"/>
      <c r="F32" s="2580"/>
      <c r="G32" s="337"/>
      <c r="H32" s="1419"/>
      <c r="I32" s="588"/>
      <c r="J32" s="508"/>
      <c r="K32" s="1419"/>
      <c r="L32" s="151"/>
      <c r="M32" s="2406"/>
      <c r="N32" s="271"/>
      <c r="O32" s="1543"/>
      <c r="P32" s="1543"/>
      <c r="AH32" s="1550">
        <v>0</v>
      </c>
    </row>
    <row r="33" spans="1:34" s="2238" customFormat="1" ht="45" hidden="1" customHeight="1">
      <c r="A33" s="1698" t="s">
        <v>173</v>
      </c>
      <c r="B33" s="1698" t="s">
        <v>174</v>
      </c>
      <c r="C33" s="306"/>
      <c r="D33" s="2683"/>
      <c r="E33" s="2437"/>
      <c r="F33" s="258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659" t="str">
        <f>INDEX(PT_DIFFERENTIATION_NTAR,MATCH(B33,PT_DIFFERENTIATION_NTAR_ID,0))</f>
        <v/>
      </c>
      <c r="H33" s="1778"/>
      <c r="I33" s="1657"/>
      <c r="J33" s="1691"/>
      <c r="K33" s="1781"/>
      <c r="L33" s="1778" t="s">
        <v>304</v>
      </c>
      <c r="M33" s="2406"/>
      <c r="N33" s="271"/>
      <c r="O33" s="1543"/>
      <c r="P33" s="1543"/>
      <c r="AH33" s="1550">
        <v>0</v>
      </c>
    </row>
    <row r="34" spans="1:34" s="2238" customFormat="1" ht="18.75" hidden="1" customHeight="1">
      <c r="A34" s="1698"/>
      <c r="B34" s="1698"/>
      <c r="C34" s="306" t="s">
        <v>1181</v>
      </c>
      <c r="D34" s="2683"/>
      <c r="E34" s="2437"/>
      <c r="F34" s="2580"/>
      <c r="G34" s="2659"/>
      <c r="H34" s="1419"/>
      <c r="I34" s="588" t="s">
        <v>1182</v>
      </c>
      <c r="J34" s="508"/>
      <c r="K34" s="1419"/>
      <c r="L34" s="151"/>
      <c r="M34" s="2406"/>
      <c r="N34" s="271"/>
      <c r="O34" s="1543"/>
      <c r="P34" s="1543"/>
      <c r="AH34" s="1550">
        <v>0</v>
      </c>
    </row>
    <row r="35" spans="1:34" s="2238" customFormat="1" ht="0.75" hidden="1" customHeight="1">
      <c r="A35" s="1698"/>
      <c r="B35" s="1698"/>
      <c r="C35" s="306" t="s">
        <v>1187</v>
      </c>
      <c r="D35" s="2683"/>
      <c r="E35" s="2437"/>
      <c r="F35" s="2580"/>
      <c r="G35" s="337"/>
      <c r="H35" s="1419"/>
      <c r="I35" s="588"/>
      <c r="J35" s="508"/>
      <c r="K35" s="1419"/>
      <c r="L35" s="151"/>
      <c r="M35" s="2406"/>
      <c r="N35" s="271"/>
      <c r="O35" s="1543"/>
      <c r="P35" s="1543"/>
      <c r="AH35" s="1550">
        <v>0</v>
      </c>
    </row>
    <row r="36" spans="1:34" s="2238" customFormat="1" ht="18.75" hidden="1" customHeight="1">
      <c r="A36" s="1698" t="s">
        <v>179</v>
      </c>
      <c r="B36" s="1698" t="s">
        <v>180</v>
      </c>
      <c r="C36" s="306"/>
      <c r="D36" s="2683"/>
      <c r="E36" s="2437"/>
      <c r="F36" s="2580" t="str">
        <f>INDEX(PT_DIFFERENTIATION_VTAR,MATCH(A36,PT_DIFFERENTIATION_VTAR_ID,0))</f>
        <v>Тарифы на услуги по передаче тепловой энергии</v>
      </c>
      <c r="G36" s="2659" t="str">
        <f>INDEX(PT_DIFFERENTIATION_NTAR,MATCH(B36,PT_DIFFERENTIATION_NTAR_ID,0))</f>
        <v/>
      </c>
      <c r="H36" s="1778"/>
      <c r="I36" s="1657"/>
      <c r="J36" s="1691"/>
      <c r="K36" s="1781"/>
      <c r="L36" s="1778" t="s">
        <v>304</v>
      </c>
      <c r="M36" s="2406"/>
      <c r="N36" s="271"/>
      <c r="O36" s="1543"/>
      <c r="P36" s="1543"/>
      <c r="AH36" s="1550">
        <v>0</v>
      </c>
    </row>
    <row r="37" spans="1:34" s="2238" customFormat="1" ht="18.75" hidden="1" customHeight="1">
      <c r="A37" s="1698"/>
      <c r="B37" s="1698"/>
      <c r="C37" s="306" t="s">
        <v>1181</v>
      </c>
      <c r="D37" s="2683"/>
      <c r="E37" s="2437"/>
      <c r="F37" s="2580"/>
      <c r="G37" s="2659"/>
      <c r="H37" s="1419"/>
      <c r="I37" s="588" t="s">
        <v>1182</v>
      </c>
      <c r="J37" s="508"/>
      <c r="K37" s="1419"/>
      <c r="L37" s="151"/>
      <c r="M37" s="2406"/>
      <c r="N37" s="271"/>
      <c r="O37" s="1543"/>
      <c r="P37" s="1543"/>
      <c r="AH37" s="1550">
        <v>0</v>
      </c>
    </row>
    <row r="38" spans="1:34" s="2238" customFormat="1" ht="0.75" hidden="1" customHeight="1">
      <c r="A38" s="1698"/>
      <c r="B38" s="1698"/>
      <c r="C38" s="306" t="s">
        <v>1187</v>
      </c>
      <c r="D38" s="2683"/>
      <c r="E38" s="2437"/>
      <c r="F38" s="2580"/>
      <c r="G38" s="337"/>
      <c r="H38" s="1419"/>
      <c r="I38" s="588"/>
      <c r="J38" s="508"/>
      <c r="K38" s="1419"/>
      <c r="L38" s="151"/>
      <c r="M38" s="2406"/>
      <c r="N38" s="271"/>
      <c r="O38" s="1543"/>
      <c r="P38" s="1543"/>
      <c r="AH38" s="1550">
        <v>0</v>
      </c>
    </row>
    <row r="39" spans="1:34" s="2238" customFormat="1" ht="18.75" hidden="1" customHeight="1">
      <c r="A39" s="1698" t="s">
        <v>185</v>
      </c>
      <c r="B39" s="1698" t="s">
        <v>186</v>
      </c>
      <c r="C39" s="306"/>
      <c r="D39" s="2683"/>
      <c r="E39" s="2437"/>
      <c r="F39" s="2580" t="str">
        <f>INDEX(PT_DIFFERENTIATION_VTAR,MATCH(A39,PT_DIFFERENTIATION_VTAR_ID,0))</f>
        <v>Тарифы на услуги по передаче теплоносителя</v>
      </c>
      <c r="G39" s="2659" t="str">
        <f>INDEX(PT_DIFFERENTIATION_NTAR,MATCH(B39,PT_DIFFERENTIATION_NTAR_ID,0))</f>
        <v/>
      </c>
      <c r="H39" s="1778"/>
      <c r="I39" s="1657"/>
      <c r="J39" s="1691"/>
      <c r="K39" s="1781"/>
      <c r="L39" s="1778" t="s">
        <v>304</v>
      </c>
      <c r="M39" s="2406"/>
      <c r="N39" s="271"/>
      <c r="O39" s="1543"/>
      <c r="P39" s="1543"/>
      <c r="AH39" s="1550">
        <v>0</v>
      </c>
    </row>
    <row r="40" spans="1:34" s="2238" customFormat="1" ht="18.75" hidden="1" customHeight="1">
      <c r="A40" s="1698"/>
      <c r="B40" s="1698"/>
      <c r="C40" s="306" t="s">
        <v>1181</v>
      </c>
      <c r="D40" s="2683"/>
      <c r="E40" s="2437"/>
      <c r="F40" s="2580"/>
      <c r="G40" s="2659"/>
      <c r="H40" s="1419"/>
      <c r="I40" s="588" t="s">
        <v>1182</v>
      </c>
      <c r="J40" s="508"/>
      <c r="K40" s="1419"/>
      <c r="L40" s="151"/>
      <c r="M40" s="2406"/>
      <c r="N40" s="271"/>
      <c r="O40" s="1543"/>
      <c r="P40" s="1543"/>
      <c r="AH40" s="1550">
        <v>0</v>
      </c>
    </row>
    <row r="41" spans="1:34" s="2238" customFormat="1" ht="0.75" hidden="1" customHeight="1">
      <c r="A41" s="1698"/>
      <c r="B41" s="1698"/>
      <c r="C41" s="306" t="s">
        <v>1187</v>
      </c>
      <c r="D41" s="2683"/>
      <c r="E41" s="2437"/>
      <c r="F41" s="2580"/>
      <c r="G41" s="337"/>
      <c r="H41" s="1419"/>
      <c r="I41" s="588"/>
      <c r="J41" s="508"/>
      <c r="K41" s="1419"/>
      <c r="L41" s="151"/>
      <c r="M41" s="2406"/>
      <c r="N41" s="271"/>
      <c r="O41" s="1543"/>
      <c r="P41" s="1543"/>
      <c r="AH41" s="1550">
        <v>0</v>
      </c>
    </row>
    <row r="42" spans="1:34" s="2238" customFormat="1" ht="18.75" hidden="1" customHeight="1">
      <c r="A42" s="1698" t="s">
        <v>191</v>
      </c>
      <c r="B42" s="1698" t="s">
        <v>192</v>
      </c>
      <c r="C42" s="306"/>
      <c r="D42" s="2683"/>
      <c r="E42" s="2437"/>
      <c r="F42" s="2580" t="str">
        <f>INDEX(PT_DIFFERENTIATION_VTAR,MATCH(A42,PT_DIFFERENTIATION_VTAR_ID,0))</f>
        <v>Плата за услуги по поддержанию резервной тепловой мощности при отсутствии потребления тепловой энергии</v>
      </c>
      <c r="G42" s="2659" t="str">
        <f>INDEX(PT_DIFFERENTIATION_NTAR,MATCH(B42,PT_DIFFERENTIATION_NTAR_ID,0))</f>
        <v/>
      </c>
      <c r="H42" s="1778"/>
      <c r="I42" s="1657"/>
      <c r="J42" s="1691"/>
      <c r="K42" s="1781"/>
      <c r="L42" s="1778" t="s">
        <v>304</v>
      </c>
      <c r="M42" s="2406"/>
      <c r="N42" s="271"/>
      <c r="O42" s="1543"/>
      <c r="P42" s="1543"/>
      <c r="AH42" s="1550">
        <v>0</v>
      </c>
    </row>
    <row r="43" spans="1:34" s="2238" customFormat="1" ht="18.75" hidden="1" customHeight="1">
      <c r="A43" s="1698"/>
      <c r="B43" s="1698"/>
      <c r="C43" s="306" t="s">
        <v>1181</v>
      </c>
      <c r="D43" s="2683"/>
      <c r="E43" s="2437"/>
      <c r="F43" s="2580"/>
      <c r="G43" s="2659"/>
      <c r="H43" s="1419"/>
      <c r="I43" s="588" t="s">
        <v>1182</v>
      </c>
      <c r="J43" s="508"/>
      <c r="K43" s="1419"/>
      <c r="L43" s="151"/>
      <c r="M43" s="2406"/>
      <c r="N43" s="271"/>
      <c r="O43" s="1543"/>
      <c r="P43" s="1543"/>
      <c r="AH43" s="1550">
        <v>0</v>
      </c>
    </row>
    <row r="44" spans="1:34" s="2238" customFormat="1" ht="0.75" hidden="1" customHeight="1">
      <c r="A44" s="1698"/>
      <c r="B44" s="1698"/>
      <c r="C44" s="306" t="s">
        <v>1187</v>
      </c>
      <c r="D44" s="2683"/>
      <c r="E44" s="2437"/>
      <c r="F44" s="2580"/>
      <c r="G44" s="337"/>
      <c r="H44" s="1419"/>
      <c r="I44" s="588"/>
      <c r="J44" s="508"/>
      <c r="K44" s="1419"/>
      <c r="L44" s="151"/>
      <c r="M44" s="2406"/>
      <c r="N44" s="271"/>
      <c r="O44" s="1543"/>
      <c r="P44" s="1543"/>
      <c r="AH44" s="1550">
        <v>0</v>
      </c>
    </row>
    <row r="45" spans="1:34" s="2238" customFormat="1" ht="18.75" hidden="1" customHeight="1">
      <c r="A45" s="1698" t="s">
        <v>197</v>
      </c>
      <c r="B45" s="1698" t="s">
        <v>198</v>
      </c>
      <c r="C45" s="306"/>
      <c r="D45" s="2683"/>
      <c r="E45" s="2437"/>
      <c r="F45" s="2580" t="str">
        <f>INDEX(PT_DIFFERENTIATION_VTAR,MATCH(A45,PT_DIFFERENTIATION_VTAR_ID,0))</f>
        <v>Плата за подключение (технологическое присоединение) к системе теплоснабжения</v>
      </c>
      <c r="G45" s="2659" t="str">
        <f>INDEX(PT_DIFFERENTIATION_NTAR,MATCH(B45,PT_DIFFERENTIATION_NTAR_ID,0))</f>
        <v/>
      </c>
      <c r="H45" s="1778"/>
      <c r="I45" s="1657"/>
      <c r="J45" s="1691"/>
      <c r="K45" s="1781"/>
      <c r="L45" s="1778" t="s">
        <v>304</v>
      </c>
      <c r="M45" s="2406"/>
      <c r="N45" s="271"/>
      <c r="O45" s="1543"/>
      <c r="P45" s="1543"/>
      <c r="AH45" s="1550">
        <v>0</v>
      </c>
    </row>
    <row r="46" spans="1:34" s="2238" customFormat="1" ht="18.75" hidden="1" customHeight="1">
      <c r="A46" s="1698"/>
      <c r="B46" s="1698"/>
      <c r="C46" s="306" t="s">
        <v>1181</v>
      </c>
      <c r="D46" s="2683"/>
      <c r="E46" s="2437"/>
      <c r="F46" s="2580"/>
      <c r="G46" s="2659"/>
      <c r="H46" s="1419"/>
      <c r="I46" s="588" t="s">
        <v>1182</v>
      </c>
      <c r="J46" s="508"/>
      <c r="K46" s="1419"/>
      <c r="L46" s="151"/>
      <c r="M46" s="2406"/>
      <c r="N46" s="271"/>
      <c r="O46" s="1543"/>
      <c r="P46" s="1543"/>
      <c r="AH46" s="1550">
        <v>0</v>
      </c>
    </row>
    <row r="47" spans="1:34" s="2238" customFormat="1" ht="0.75" hidden="1" customHeight="1">
      <c r="A47" s="1698"/>
      <c r="B47" s="1698"/>
      <c r="C47" s="306" t="s">
        <v>1187</v>
      </c>
      <c r="D47" s="2683"/>
      <c r="E47" s="2437"/>
      <c r="F47" s="2580"/>
      <c r="G47" s="337"/>
      <c r="H47" s="1419"/>
      <c r="I47" s="588"/>
      <c r="J47" s="508"/>
      <c r="K47" s="1419"/>
      <c r="L47" s="151"/>
      <c r="M47" s="2406"/>
      <c r="N47" s="271"/>
      <c r="O47" s="1543"/>
      <c r="P47" s="1543"/>
      <c r="AH47" s="1550">
        <v>0</v>
      </c>
    </row>
    <row r="48" spans="1:34" s="2238" customFormat="1" ht="18.75" hidden="1" customHeight="1">
      <c r="A48" s="1698" t="s">
        <v>203</v>
      </c>
      <c r="B48" s="1698" t="s">
        <v>204</v>
      </c>
      <c r="C48" s="306"/>
      <c r="D48" s="2683"/>
      <c r="E48" s="2437"/>
      <c r="F48" s="2580" t="str">
        <f>INDEX(PT_DIFFERENTIATION_VTAR,MATCH(A48,PT_DIFFERENTIATION_VTAR_ID,0))</f>
        <v>Плата за подключение (технологическое присоединение) к системе теплоснабжения (индивидуальная)</v>
      </c>
      <c r="G48" s="2659" t="str">
        <f>INDEX(PT_DIFFERENTIATION_NTAR,MATCH(B48,PT_DIFFERENTIATION_NTAR_ID,0))</f>
        <v/>
      </c>
      <c r="H48" s="1902"/>
      <c r="I48" s="1657"/>
      <c r="J48" s="1691"/>
      <c r="K48" s="1781"/>
      <c r="L48" s="1902" t="s">
        <v>304</v>
      </c>
      <c r="M48" s="2406"/>
      <c r="N48" s="271"/>
      <c r="O48" s="1543"/>
      <c r="P48" s="1543"/>
      <c r="AH48" s="1550">
        <v>0</v>
      </c>
    </row>
    <row r="49" spans="1:34" s="2238" customFormat="1" ht="18.75" hidden="1" customHeight="1">
      <c r="A49" s="1698"/>
      <c r="B49" s="1698"/>
      <c r="C49" s="306" t="s">
        <v>1181</v>
      </c>
      <c r="D49" s="2683"/>
      <c r="E49" s="2437"/>
      <c r="F49" s="2580"/>
      <c r="G49" s="2659"/>
      <c r="H49" s="1419"/>
      <c r="I49" s="588" t="s">
        <v>1182</v>
      </c>
      <c r="J49" s="508"/>
      <c r="K49" s="1419"/>
      <c r="L49" s="151"/>
      <c r="M49" s="2406"/>
      <c r="N49" s="271"/>
      <c r="O49" s="1543"/>
      <c r="P49" s="1543"/>
      <c r="AH49" s="1550">
        <v>0</v>
      </c>
    </row>
    <row r="50" spans="1:34" s="2238" customFormat="1" ht="0.75" hidden="1" customHeight="1">
      <c r="A50" s="1698"/>
      <c r="B50" s="1698"/>
      <c r="C50" s="306" t="s">
        <v>1187</v>
      </c>
      <c r="D50" s="2683"/>
      <c r="E50" s="2437"/>
      <c r="F50" s="2580"/>
      <c r="G50" s="337"/>
      <c r="H50" s="1419"/>
      <c r="I50" s="588"/>
      <c r="J50" s="508"/>
      <c r="K50" s="1419"/>
      <c r="L50" s="151"/>
      <c r="M50" s="2406"/>
      <c r="N50" s="271"/>
      <c r="O50" s="1543"/>
      <c r="P50" s="1543"/>
      <c r="AH50" s="1550">
        <v>0</v>
      </c>
    </row>
    <row r="51" spans="1:34" s="2238" customFormat="1" ht="18.75" hidden="1" customHeight="1">
      <c r="A51" s="1698" t="s">
        <v>223</v>
      </c>
      <c r="B51" s="1698" t="s">
        <v>224</v>
      </c>
      <c r="C51" s="306"/>
      <c r="D51" s="2683"/>
      <c r="E51" s="2437"/>
      <c r="F51" s="2580" t="str">
        <f>INDEX(PT_DIFFERENTIATION_VTAR,MATCH(A51,PT_DIFFERENTIATION_VTAR_ID,0))</f>
        <v>Тариф на питьевую воду (питьевое водоснабжение)</v>
      </c>
      <c r="G51" s="2659" t="str">
        <f>INDEX(PT_DIFFERENTIATION_NTAR,MATCH(B51,PT_DIFFERENTIATION_NTAR_ID,0))</f>
        <v/>
      </c>
      <c r="H51" s="1778"/>
      <c r="I51" s="1657"/>
      <c r="J51" s="1691"/>
      <c r="K51" s="1781"/>
      <c r="L51" s="1778" t="s">
        <v>304</v>
      </c>
      <c r="M51" s="2406"/>
      <c r="N51" s="271"/>
      <c r="O51" s="1543"/>
      <c r="P51" s="1543"/>
      <c r="AH51" s="1550">
        <v>0</v>
      </c>
    </row>
    <row r="52" spans="1:34" s="2238" customFormat="1" ht="18.75" hidden="1" customHeight="1">
      <c r="A52" s="1698"/>
      <c r="B52" s="1698"/>
      <c r="C52" s="306" t="s">
        <v>1181</v>
      </c>
      <c r="D52" s="2683"/>
      <c r="E52" s="2437"/>
      <c r="F52" s="2580"/>
      <c r="G52" s="2659"/>
      <c r="H52" s="1419"/>
      <c r="I52" s="588" t="s">
        <v>1182</v>
      </c>
      <c r="J52" s="508"/>
      <c r="K52" s="1419"/>
      <c r="L52" s="151"/>
      <c r="M52" s="2406"/>
      <c r="N52" s="271"/>
      <c r="O52" s="1543"/>
      <c r="P52" s="1543"/>
      <c r="AH52" s="1550">
        <v>0</v>
      </c>
    </row>
    <row r="53" spans="1:34" s="2238" customFormat="1" ht="0.75" hidden="1" customHeight="1">
      <c r="A53" s="1698"/>
      <c r="B53" s="1698"/>
      <c r="C53" s="306" t="s">
        <v>1187</v>
      </c>
      <c r="D53" s="2683"/>
      <c r="E53" s="2437"/>
      <c r="F53" s="2580"/>
      <c r="G53" s="337"/>
      <c r="H53" s="1419"/>
      <c r="I53" s="588"/>
      <c r="J53" s="508"/>
      <c r="K53" s="1419"/>
      <c r="L53" s="151"/>
      <c r="M53" s="2406"/>
      <c r="N53" s="271"/>
      <c r="O53" s="1543"/>
      <c r="P53" s="1543"/>
      <c r="AH53" s="1550">
        <v>0</v>
      </c>
    </row>
    <row r="54" spans="1:34" s="2238" customFormat="1" ht="18.75" hidden="1" customHeight="1">
      <c r="A54" s="1698" t="s">
        <v>228</v>
      </c>
      <c r="B54" s="1698" t="s">
        <v>229</v>
      </c>
      <c r="C54" s="306"/>
      <c r="D54" s="2683"/>
      <c r="E54" s="2437"/>
      <c r="F54" s="2580" t="str">
        <f>INDEX(PT_DIFFERENTIATION_VTAR,MATCH(A54,PT_DIFFERENTIATION_VTAR_ID,0))</f>
        <v>Тариф на техническую воду</v>
      </c>
      <c r="G54" s="2659" t="str">
        <f>INDEX(PT_DIFFERENTIATION_NTAR,MATCH(B54,PT_DIFFERENTIATION_NTAR_ID,0))</f>
        <v/>
      </c>
      <c r="H54" s="1778"/>
      <c r="I54" s="1657"/>
      <c r="J54" s="1691"/>
      <c r="K54" s="1781"/>
      <c r="L54" s="1778" t="s">
        <v>304</v>
      </c>
      <c r="M54" s="2406"/>
      <c r="N54" s="271"/>
      <c r="O54" s="1543"/>
      <c r="P54" s="1543"/>
      <c r="AH54" s="1550">
        <v>0</v>
      </c>
    </row>
    <row r="55" spans="1:34" s="2238" customFormat="1" ht="18.75" hidden="1" customHeight="1">
      <c r="A55" s="1698"/>
      <c r="B55" s="1698"/>
      <c r="C55" s="306" t="s">
        <v>1181</v>
      </c>
      <c r="D55" s="2683"/>
      <c r="E55" s="2437"/>
      <c r="F55" s="2580"/>
      <c r="G55" s="2659"/>
      <c r="H55" s="1419"/>
      <c r="I55" s="588" t="s">
        <v>1182</v>
      </c>
      <c r="J55" s="508"/>
      <c r="K55" s="1419"/>
      <c r="L55" s="151"/>
      <c r="M55" s="2406"/>
      <c r="N55" s="271"/>
      <c r="O55" s="1543"/>
      <c r="P55" s="1543"/>
      <c r="AH55" s="1550">
        <v>0</v>
      </c>
    </row>
    <row r="56" spans="1:34" s="2238" customFormat="1" ht="0.75" hidden="1" customHeight="1">
      <c r="A56" s="1698"/>
      <c r="B56" s="1698"/>
      <c r="C56" s="306" t="s">
        <v>1187</v>
      </c>
      <c r="D56" s="2683"/>
      <c r="E56" s="2437"/>
      <c r="F56" s="2580"/>
      <c r="G56" s="337"/>
      <c r="H56" s="1419"/>
      <c r="I56" s="588"/>
      <c r="J56" s="508"/>
      <c r="K56" s="1419"/>
      <c r="L56" s="151"/>
      <c r="M56" s="2406"/>
      <c r="N56" s="271"/>
      <c r="O56" s="1543"/>
      <c r="P56" s="1543"/>
      <c r="AH56" s="1550">
        <v>0</v>
      </c>
    </row>
    <row r="57" spans="1:34" s="2238" customFormat="1" ht="18.75" hidden="1" customHeight="1">
      <c r="A57" s="1698" t="s">
        <v>233</v>
      </c>
      <c r="B57" s="1698" t="s">
        <v>234</v>
      </c>
      <c r="C57" s="306"/>
      <c r="D57" s="2683"/>
      <c r="E57" s="2437"/>
      <c r="F57" s="2580" t="str">
        <f>INDEX(PT_DIFFERENTIATION_VTAR,MATCH(A57,PT_DIFFERENTIATION_VTAR_ID,0))</f>
        <v>Тариф на транспортировку воды</v>
      </c>
      <c r="G57" s="2659" t="str">
        <f>INDEX(PT_DIFFERENTIATION_NTAR,MATCH(B57,PT_DIFFERENTIATION_NTAR_ID,0))</f>
        <v/>
      </c>
      <c r="H57" s="1778"/>
      <c r="I57" s="1657"/>
      <c r="J57" s="1691"/>
      <c r="K57" s="1781"/>
      <c r="L57" s="1778" t="s">
        <v>304</v>
      </c>
      <c r="M57" s="2406"/>
      <c r="N57" s="271"/>
      <c r="O57" s="1543"/>
      <c r="P57" s="1543"/>
      <c r="AH57" s="1550">
        <v>0</v>
      </c>
    </row>
    <row r="58" spans="1:34" s="2238" customFormat="1" ht="18.75" hidden="1" customHeight="1">
      <c r="A58" s="1698"/>
      <c r="B58" s="1698"/>
      <c r="C58" s="306" t="s">
        <v>1181</v>
      </c>
      <c r="D58" s="2683"/>
      <c r="E58" s="2437"/>
      <c r="F58" s="2580"/>
      <c r="G58" s="2659"/>
      <c r="H58" s="1419"/>
      <c r="I58" s="588" t="s">
        <v>1182</v>
      </c>
      <c r="J58" s="508"/>
      <c r="K58" s="1419"/>
      <c r="L58" s="151"/>
      <c r="M58" s="2406"/>
      <c r="N58" s="271"/>
      <c r="O58" s="1543"/>
      <c r="P58" s="1543"/>
      <c r="AH58" s="1550">
        <v>0</v>
      </c>
    </row>
    <row r="59" spans="1:34" s="2238" customFormat="1" ht="0.75" hidden="1" customHeight="1">
      <c r="A59" s="1698"/>
      <c r="B59" s="1698"/>
      <c r="C59" s="306" t="s">
        <v>1187</v>
      </c>
      <c r="D59" s="2683"/>
      <c r="E59" s="2437"/>
      <c r="F59" s="2580"/>
      <c r="G59" s="337"/>
      <c r="H59" s="1419"/>
      <c r="I59" s="588"/>
      <c r="J59" s="508"/>
      <c r="K59" s="1419"/>
      <c r="L59" s="151"/>
      <c r="M59" s="2406"/>
      <c r="N59" s="271"/>
      <c r="O59" s="1543"/>
      <c r="P59" s="1543"/>
      <c r="AH59" s="1550">
        <v>0</v>
      </c>
    </row>
    <row r="60" spans="1:34" s="2238" customFormat="1" ht="18.75" hidden="1" customHeight="1">
      <c r="A60" s="1698" t="s">
        <v>238</v>
      </c>
      <c r="B60" s="1698" t="s">
        <v>239</v>
      </c>
      <c r="C60" s="306"/>
      <c r="D60" s="2683"/>
      <c r="E60" s="2437"/>
      <c r="F60" s="2580" t="str">
        <f>INDEX(PT_DIFFERENTIATION_VTAR,MATCH(A60,PT_DIFFERENTIATION_VTAR_ID,0))</f>
        <v>Тариф на подвоз воды</v>
      </c>
      <c r="G60" s="2659" t="str">
        <f>INDEX(PT_DIFFERENTIATION_NTAR,MATCH(B60,PT_DIFFERENTIATION_NTAR_ID,0))</f>
        <v/>
      </c>
      <c r="H60" s="1778"/>
      <c r="I60" s="1657"/>
      <c r="J60" s="1691"/>
      <c r="K60" s="1781"/>
      <c r="L60" s="1778" t="s">
        <v>304</v>
      </c>
      <c r="M60" s="2406"/>
      <c r="N60" s="271"/>
      <c r="O60" s="1543"/>
      <c r="P60" s="1543"/>
      <c r="AH60" s="1550">
        <v>0</v>
      </c>
    </row>
    <row r="61" spans="1:34" s="2238" customFormat="1" ht="18.75" hidden="1" customHeight="1">
      <c r="A61" s="1698"/>
      <c r="B61" s="1698"/>
      <c r="C61" s="306" t="s">
        <v>1181</v>
      </c>
      <c r="D61" s="2683"/>
      <c r="E61" s="2437"/>
      <c r="F61" s="2580"/>
      <c r="G61" s="2659"/>
      <c r="H61" s="1419"/>
      <c r="I61" s="588" t="s">
        <v>1182</v>
      </c>
      <c r="J61" s="508"/>
      <c r="K61" s="1419"/>
      <c r="L61" s="151"/>
      <c r="M61" s="2406"/>
      <c r="N61" s="271"/>
      <c r="O61" s="1543"/>
      <c r="P61" s="1543"/>
      <c r="AH61" s="1550">
        <v>0</v>
      </c>
    </row>
    <row r="62" spans="1:34" s="2238" customFormat="1" ht="0.75" hidden="1" customHeight="1">
      <c r="A62" s="1698"/>
      <c r="B62" s="1698"/>
      <c r="C62" s="306" t="s">
        <v>1187</v>
      </c>
      <c r="D62" s="2683"/>
      <c r="E62" s="2437"/>
      <c r="F62" s="2580"/>
      <c r="G62" s="337"/>
      <c r="H62" s="1419"/>
      <c r="I62" s="588"/>
      <c r="J62" s="508"/>
      <c r="K62" s="1419"/>
      <c r="L62" s="151"/>
      <c r="M62" s="2406"/>
      <c r="N62" s="271"/>
      <c r="O62" s="1543"/>
      <c r="P62" s="1543"/>
      <c r="AH62" s="1550">
        <v>0</v>
      </c>
    </row>
    <row r="63" spans="1:34" s="2238" customFormat="1" ht="18.75" hidden="1" customHeight="1">
      <c r="A63" s="1698" t="s">
        <v>243</v>
      </c>
      <c r="B63" s="1698" t="s">
        <v>244</v>
      </c>
      <c r="C63" s="306"/>
      <c r="D63" s="2683"/>
      <c r="E63" s="2437"/>
      <c r="F63" s="258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659" t="str">
        <f>INDEX(PT_DIFFERENTIATION_NTAR,MATCH(B63,PT_DIFFERENTIATION_NTAR_ID,0))</f>
        <v/>
      </c>
      <c r="H63" s="1778"/>
      <c r="I63" s="1657"/>
      <c r="J63" s="1691"/>
      <c r="K63" s="1781"/>
      <c r="L63" s="1778" t="s">
        <v>304</v>
      </c>
      <c r="M63" s="2406"/>
      <c r="N63" s="271"/>
      <c r="O63" s="1543"/>
      <c r="P63" s="1543"/>
      <c r="AH63" s="1550">
        <v>0</v>
      </c>
    </row>
    <row r="64" spans="1:34" s="2238" customFormat="1" ht="18.75" hidden="1" customHeight="1">
      <c r="A64" s="1698"/>
      <c r="B64" s="1698"/>
      <c r="C64" s="306" t="s">
        <v>1181</v>
      </c>
      <c r="D64" s="2683"/>
      <c r="E64" s="2437"/>
      <c r="F64" s="2580"/>
      <c r="G64" s="2659"/>
      <c r="H64" s="1419"/>
      <c r="I64" s="588" t="s">
        <v>1182</v>
      </c>
      <c r="J64" s="508"/>
      <c r="K64" s="1419"/>
      <c r="L64" s="151"/>
      <c r="M64" s="2406"/>
      <c r="N64" s="271"/>
      <c r="O64" s="1543"/>
      <c r="P64" s="1543"/>
      <c r="AH64" s="1550">
        <v>0</v>
      </c>
    </row>
    <row r="65" spans="1:34" s="2238" customFormat="1" ht="0.75" hidden="1" customHeight="1">
      <c r="A65" s="1698"/>
      <c r="B65" s="1698"/>
      <c r="C65" s="306" t="s">
        <v>1187</v>
      </c>
      <c r="D65" s="2683"/>
      <c r="E65" s="2437"/>
      <c r="F65" s="2580"/>
      <c r="G65" s="337"/>
      <c r="H65" s="1419"/>
      <c r="I65" s="588"/>
      <c r="J65" s="508"/>
      <c r="K65" s="1419"/>
      <c r="L65" s="151"/>
      <c r="M65" s="2406"/>
      <c r="N65" s="271"/>
      <c r="O65" s="1543"/>
      <c r="P65" s="1543"/>
      <c r="AH65" s="1550">
        <v>0</v>
      </c>
    </row>
    <row r="66" spans="1:34" s="2238" customFormat="1" ht="18.75" hidden="1" customHeight="1">
      <c r="A66" s="1698" t="s">
        <v>248</v>
      </c>
      <c r="B66" s="1698" t="s">
        <v>249</v>
      </c>
      <c r="C66" s="306"/>
      <c r="D66" s="2683"/>
      <c r="E66" s="2437"/>
      <c r="F66" s="2580" t="str">
        <f>INDEX(PT_DIFFERENTIATION_VTAR,MATCH(A66,PT_DIFFERENTIATION_VTAR_ID,0))</f>
        <v>Тариф на горячую воду (горячее водоснабжение)</v>
      </c>
      <c r="G66" s="2659" t="str">
        <f>INDEX(PT_DIFFERENTIATION_NTAR,MATCH(B66,PT_DIFFERENTIATION_NTAR_ID,0))</f>
        <v/>
      </c>
      <c r="H66" s="1778"/>
      <c r="I66" s="1657"/>
      <c r="J66" s="1691"/>
      <c r="K66" s="1781"/>
      <c r="L66" s="1778" t="s">
        <v>304</v>
      </c>
      <c r="M66" s="2406"/>
      <c r="N66" s="271"/>
      <c r="O66" s="1543"/>
      <c r="P66" s="1543"/>
      <c r="AH66" s="1550">
        <v>0</v>
      </c>
    </row>
    <row r="67" spans="1:34" s="2238" customFormat="1" ht="18.75" hidden="1" customHeight="1">
      <c r="A67" s="1698"/>
      <c r="B67" s="1698"/>
      <c r="C67" s="306" t="s">
        <v>1181</v>
      </c>
      <c r="D67" s="2683"/>
      <c r="E67" s="2437"/>
      <c r="F67" s="2580"/>
      <c r="G67" s="2659"/>
      <c r="H67" s="1419"/>
      <c r="I67" s="588" t="s">
        <v>1182</v>
      </c>
      <c r="J67" s="508"/>
      <c r="K67" s="1419"/>
      <c r="L67" s="151"/>
      <c r="M67" s="2406"/>
      <c r="N67" s="271"/>
      <c r="O67" s="1543"/>
      <c r="P67" s="1543"/>
      <c r="AH67" s="1550">
        <v>0</v>
      </c>
    </row>
    <row r="68" spans="1:34" s="2238" customFormat="1" ht="0.75" hidden="1" customHeight="1">
      <c r="A68" s="1698"/>
      <c r="B68" s="1698"/>
      <c r="C68" s="306" t="s">
        <v>1187</v>
      </c>
      <c r="D68" s="2683"/>
      <c r="E68" s="2437"/>
      <c r="F68" s="2580"/>
      <c r="G68" s="337"/>
      <c r="H68" s="1419"/>
      <c r="I68" s="588"/>
      <c r="J68" s="508"/>
      <c r="K68" s="1419"/>
      <c r="L68" s="151"/>
      <c r="M68" s="2406"/>
      <c r="N68" s="271"/>
      <c r="O68" s="1543"/>
      <c r="P68" s="1543"/>
      <c r="AH68" s="1550">
        <v>0</v>
      </c>
    </row>
    <row r="69" spans="1:34" s="2238" customFormat="1" ht="18.75" hidden="1" customHeight="1">
      <c r="A69" s="1698" t="s">
        <v>253</v>
      </c>
      <c r="B69" s="1698" t="s">
        <v>254</v>
      </c>
      <c r="C69" s="306"/>
      <c r="D69" s="2683"/>
      <c r="E69" s="2437"/>
      <c r="F69" s="2580" t="str">
        <f>INDEX(PT_DIFFERENTIATION_VTAR,MATCH(A69,PT_DIFFERENTIATION_VTAR_ID,0))</f>
        <v>Тариф на транспортировку горячей воды</v>
      </c>
      <c r="G69" s="2659" t="str">
        <f>INDEX(PT_DIFFERENTIATION_NTAR,MATCH(B69,PT_DIFFERENTIATION_NTAR_ID,0))</f>
        <v/>
      </c>
      <c r="H69" s="1778"/>
      <c r="I69" s="1657"/>
      <c r="J69" s="1691"/>
      <c r="K69" s="1781"/>
      <c r="L69" s="1778" t="s">
        <v>304</v>
      </c>
      <c r="M69" s="2406"/>
      <c r="N69" s="271"/>
      <c r="O69" s="1543"/>
      <c r="P69" s="1543"/>
      <c r="AH69" s="1550">
        <v>0</v>
      </c>
    </row>
    <row r="70" spans="1:34" s="2238" customFormat="1" ht="18.75" hidden="1" customHeight="1">
      <c r="A70" s="1698"/>
      <c r="B70" s="1698"/>
      <c r="C70" s="306" t="s">
        <v>1181</v>
      </c>
      <c r="D70" s="2683"/>
      <c r="E70" s="2437"/>
      <c r="F70" s="2580"/>
      <c r="G70" s="2659"/>
      <c r="H70" s="1419"/>
      <c r="I70" s="588" t="s">
        <v>1182</v>
      </c>
      <c r="J70" s="508"/>
      <c r="K70" s="1419"/>
      <c r="L70" s="151"/>
      <c r="M70" s="2406"/>
      <c r="N70" s="271"/>
      <c r="O70" s="1543"/>
      <c r="P70" s="1543"/>
      <c r="AH70" s="1550">
        <v>0</v>
      </c>
    </row>
    <row r="71" spans="1:34" s="2238" customFormat="1" ht="0.75" hidden="1" customHeight="1">
      <c r="A71" s="1698"/>
      <c r="B71" s="1698"/>
      <c r="C71" s="306" t="s">
        <v>1187</v>
      </c>
      <c r="D71" s="2683"/>
      <c r="E71" s="2437"/>
      <c r="F71" s="2580"/>
      <c r="G71" s="337"/>
      <c r="H71" s="1419"/>
      <c r="I71" s="588"/>
      <c r="J71" s="508"/>
      <c r="K71" s="1419"/>
      <c r="L71" s="151"/>
      <c r="M71" s="2406"/>
      <c r="N71" s="271"/>
      <c r="O71" s="1543"/>
      <c r="P71" s="1543"/>
      <c r="AH71" s="1550">
        <v>0</v>
      </c>
    </row>
    <row r="72" spans="1:34" s="2238" customFormat="1" ht="18.75" hidden="1" customHeight="1">
      <c r="A72" s="1698" t="s">
        <v>258</v>
      </c>
      <c r="B72" s="1698" t="s">
        <v>259</v>
      </c>
      <c r="C72" s="306"/>
      <c r="D72" s="2683"/>
      <c r="E72" s="2437"/>
      <c r="F72" s="2580" t="str">
        <f>INDEX(PT_DIFFERENTIATION_VTAR,MATCH(A72,PT_DIFFERENTIATION_VTAR_ID,0))</f>
        <v>Тариф на подключение (технологическое присоединение) к централизованной системе горячего водоснабжения</v>
      </c>
      <c r="G72" s="2659" t="str">
        <f>INDEX(PT_DIFFERENTIATION_NTAR,MATCH(B72,PT_DIFFERENTIATION_NTAR_ID,0))</f>
        <v/>
      </c>
      <c r="H72" s="1778"/>
      <c r="I72" s="1657"/>
      <c r="J72" s="1691"/>
      <c r="K72" s="1781"/>
      <c r="L72" s="1778" t="s">
        <v>304</v>
      </c>
      <c r="M72" s="2406"/>
      <c r="N72" s="271"/>
      <c r="O72" s="1543"/>
      <c r="P72" s="1543"/>
      <c r="AH72" s="1550">
        <v>0</v>
      </c>
    </row>
    <row r="73" spans="1:34" s="2238" customFormat="1" ht="18.75" hidden="1" customHeight="1">
      <c r="A73" s="1698"/>
      <c r="B73" s="1698"/>
      <c r="C73" s="306" t="s">
        <v>1181</v>
      </c>
      <c r="D73" s="2683"/>
      <c r="E73" s="2437"/>
      <c r="F73" s="2580"/>
      <c r="G73" s="2659"/>
      <c r="H73" s="1419"/>
      <c r="I73" s="588" t="s">
        <v>1182</v>
      </c>
      <c r="J73" s="508"/>
      <c r="K73" s="1419"/>
      <c r="L73" s="151"/>
      <c r="M73" s="2406"/>
      <c r="N73" s="271"/>
      <c r="O73" s="1543"/>
      <c r="P73" s="1543"/>
      <c r="AH73" s="1550">
        <v>0</v>
      </c>
    </row>
    <row r="74" spans="1:34" s="2238" customFormat="1" ht="0.75" hidden="1" customHeight="1">
      <c r="A74" s="1698"/>
      <c r="B74" s="1698"/>
      <c r="C74" s="306" t="s">
        <v>1187</v>
      </c>
      <c r="D74" s="2683"/>
      <c r="E74" s="2437"/>
      <c r="F74" s="2580"/>
      <c r="G74" s="337"/>
      <c r="H74" s="1419"/>
      <c r="I74" s="588"/>
      <c r="J74" s="508"/>
      <c r="K74" s="1419"/>
      <c r="L74" s="151"/>
      <c r="M74" s="2406"/>
      <c r="N74" s="271"/>
      <c r="O74" s="1543"/>
      <c r="P74" s="1543"/>
      <c r="AH74" s="1550">
        <v>0</v>
      </c>
    </row>
    <row r="75" spans="1:34" s="2238" customFormat="1" ht="18.75" hidden="1" customHeight="1">
      <c r="A75" s="1698" t="s">
        <v>263</v>
      </c>
      <c r="B75" s="1698" t="s">
        <v>264</v>
      </c>
      <c r="C75" s="306"/>
      <c r="D75" s="2683"/>
      <c r="E75" s="2437"/>
      <c r="F75" s="2580" t="str">
        <f>INDEX(PT_DIFFERENTIATION_VTAR,MATCH(A75,PT_DIFFERENTIATION_VTAR_ID,0))</f>
        <v>Тариф на водоотведение</v>
      </c>
      <c r="G75" s="2659" t="str">
        <f>INDEX(PT_DIFFERENTIATION_NTAR,MATCH(B75,PT_DIFFERENTIATION_NTAR_ID,0))</f>
        <v/>
      </c>
      <c r="H75" s="1778"/>
      <c r="I75" s="1657"/>
      <c r="J75" s="1691"/>
      <c r="K75" s="1781"/>
      <c r="L75" s="1778" t="s">
        <v>304</v>
      </c>
      <c r="M75" s="2406"/>
      <c r="N75" s="271"/>
      <c r="O75" s="1543"/>
      <c r="P75" s="1543"/>
      <c r="AH75" s="1550">
        <v>0</v>
      </c>
    </row>
    <row r="76" spans="1:34" s="2238" customFormat="1" ht="18.75" hidden="1" customHeight="1">
      <c r="A76" s="1698"/>
      <c r="B76" s="1698"/>
      <c r="C76" s="306" t="s">
        <v>1181</v>
      </c>
      <c r="D76" s="2683"/>
      <c r="E76" s="2437"/>
      <c r="F76" s="2580"/>
      <c r="G76" s="2659"/>
      <c r="H76" s="1419"/>
      <c r="I76" s="588" t="s">
        <v>1182</v>
      </c>
      <c r="J76" s="508"/>
      <c r="K76" s="1419"/>
      <c r="L76" s="151"/>
      <c r="M76" s="2406"/>
      <c r="N76" s="271"/>
      <c r="O76" s="1543"/>
      <c r="P76" s="1543"/>
      <c r="AH76" s="1550">
        <v>0</v>
      </c>
    </row>
    <row r="77" spans="1:34" s="2238" customFormat="1" ht="0.75" hidden="1" customHeight="1">
      <c r="A77" s="1698"/>
      <c r="B77" s="1698"/>
      <c r="C77" s="306" t="s">
        <v>1187</v>
      </c>
      <c r="D77" s="2683"/>
      <c r="E77" s="2437"/>
      <c r="F77" s="2580"/>
      <c r="G77" s="337"/>
      <c r="H77" s="1419"/>
      <c r="I77" s="588"/>
      <c r="J77" s="508"/>
      <c r="K77" s="1419"/>
      <c r="L77" s="151"/>
      <c r="M77" s="2406"/>
      <c r="N77" s="271"/>
      <c r="O77" s="1543"/>
      <c r="P77" s="1543"/>
      <c r="AH77" s="1550">
        <v>0</v>
      </c>
    </row>
    <row r="78" spans="1:34" s="2238" customFormat="1" ht="18.75" hidden="1" customHeight="1">
      <c r="A78" s="1698" t="s">
        <v>268</v>
      </c>
      <c r="B78" s="1698" t="s">
        <v>269</v>
      </c>
      <c r="C78" s="306"/>
      <c r="D78" s="2683"/>
      <c r="E78" s="2437"/>
      <c r="F78" s="2580" t="str">
        <f>INDEX(PT_DIFFERENTIATION_VTAR,MATCH(A78,PT_DIFFERENTIATION_VTAR_ID,0))</f>
        <v>Тариф на транспортировку сточных вод</v>
      </c>
      <c r="G78" s="2659" t="str">
        <f>INDEX(PT_DIFFERENTIATION_NTAR,MATCH(B78,PT_DIFFERENTIATION_NTAR_ID,0))</f>
        <v/>
      </c>
      <c r="H78" s="1778"/>
      <c r="I78" s="1657"/>
      <c r="J78" s="1691"/>
      <c r="K78" s="1781"/>
      <c r="L78" s="1778" t="s">
        <v>304</v>
      </c>
      <c r="M78" s="2406"/>
      <c r="N78" s="271"/>
      <c r="O78" s="1543"/>
      <c r="P78" s="1543"/>
      <c r="AH78" s="1550">
        <v>0</v>
      </c>
    </row>
    <row r="79" spans="1:34" s="2238" customFormat="1" ht="18.75" hidden="1" customHeight="1">
      <c r="A79" s="1698"/>
      <c r="B79" s="1698"/>
      <c r="C79" s="306" t="s">
        <v>1181</v>
      </c>
      <c r="D79" s="2683"/>
      <c r="E79" s="2437"/>
      <c r="F79" s="2580"/>
      <c r="G79" s="2659"/>
      <c r="H79" s="1419"/>
      <c r="I79" s="588" t="s">
        <v>1182</v>
      </c>
      <c r="J79" s="508"/>
      <c r="K79" s="1419"/>
      <c r="L79" s="151"/>
      <c r="M79" s="2406"/>
      <c r="N79" s="271"/>
      <c r="O79" s="1543"/>
      <c r="P79" s="1543"/>
      <c r="AH79" s="1550">
        <v>0</v>
      </c>
    </row>
    <row r="80" spans="1:34" s="2238" customFormat="1" ht="0.75" hidden="1" customHeight="1">
      <c r="A80" s="1698"/>
      <c r="B80" s="1698"/>
      <c r="C80" s="306" t="s">
        <v>1187</v>
      </c>
      <c r="D80" s="2683"/>
      <c r="E80" s="2437"/>
      <c r="F80" s="2580"/>
      <c r="G80" s="337"/>
      <c r="H80" s="1419"/>
      <c r="I80" s="588"/>
      <c r="J80" s="508"/>
      <c r="K80" s="1419"/>
      <c r="L80" s="151"/>
      <c r="M80" s="2406"/>
      <c r="N80" s="271"/>
      <c r="O80" s="1543"/>
      <c r="P80" s="1543"/>
      <c r="AH80" s="1550">
        <v>0</v>
      </c>
    </row>
    <row r="81" spans="1:34" s="2238" customFormat="1" ht="18.75" hidden="1" customHeight="1">
      <c r="A81" s="1698" t="s">
        <v>273</v>
      </c>
      <c r="B81" s="1698" t="s">
        <v>274</v>
      </c>
      <c r="C81" s="306"/>
      <c r="D81" s="2683"/>
      <c r="E81" s="2437"/>
      <c r="F81" s="2580" t="str">
        <f>INDEX(PT_DIFFERENTIATION_VTAR,MATCH(A81,PT_DIFFERENTIATION_VTAR_ID,0))</f>
        <v>Тариф на подключение (технологическое присоединение) к централизованной системе водоотведения</v>
      </c>
      <c r="G81" s="2659" t="str">
        <f>INDEX(PT_DIFFERENTIATION_NTAR,MATCH(B81,PT_DIFFERENTIATION_NTAR_ID,0))</f>
        <v/>
      </c>
      <c r="H81" s="1778"/>
      <c r="I81" s="1657"/>
      <c r="J81" s="1691"/>
      <c r="K81" s="1781"/>
      <c r="L81" s="1778" t="s">
        <v>304</v>
      </c>
      <c r="M81" s="2406"/>
      <c r="N81" s="271"/>
      <c r="O81" s="1543"/>
      <c r="P81" s="1543"/>
      <c r="AH81" s="1550">
        <v>0</v>
      </c>
    </row>
    <row r="82" spans="1:34" s="2238" customFormat="1" ht="18.75" hidden="1" customHeight="1">
      <c r="A82" s="1698"/>
      <c r="B82" s="1698"/>
      <c r="C82" s="306" t="s">
        <v>1181</v>
      </c>
      <c r="D82" s="2683"/>
      <c r="E82" s="2437"/>
      <c r="F82" s="2580"/>
      <c r="G82" s="2659"/>
      <c r="H82" s="1419"/>
      <c r="I82" s="588" t="s">
        <v>1182</v>
      </c>
      <c r="J82" s="508"/>
      <c r="K82" s="1419"/>
      <c r="L82" s="151"/>
      <c r="M82" s="2406"/>
      <c r="N82" s="271"/>
      <c r="O82" s="1543"/>
      <c r="P82" s="1543"/>
      <c r="AH82" s="1550">
        <v>0</v>
      </c>
    </row>
    <row r="83" spans="1:34" s="2238" customFormat="1" ht="1.1499999999999999" customHeight="1">
      <c r="A83" s="1698"/>
      <c r="B83" s="1698"/>
      <c r="C83" s="306" t="s">
        <v>1187</v>
      </c>
      <c r="D83" s="2683"/>
      <c r="E83" s="2437"/>
      <c r="F83" s="2580"/>
      <c r="G83" s="337"/>
      <c r="H83" s="1419"/>
      <c r="I83" s="588"/>
      <c r="J83" s="508"/>
      <c r="K83" s="1419"/>
      <c r="L83" s="151"/>
      <c r="M83" s="2406"/>
      <c r="N83" s="271"/>
      <c r="O83" s="1543"/>
      <c r="P83" s="1543"/>
      <c r="AH83" s="1550">
        <v>1</v>
      </c>
    </row>
    <row r="84" spans="1:34" ht="19.899999999999999" customHeight="1">
      <c r="A84" s="1698"/>
      <c r="B84" s="1698"/>
      <c r="D84" s="313"/>
      <c r="E84" s="85" t="s">
        <v>109</v>
      </c>
      <c r="F84" s="268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2682"/>
      <c r="H84" s="2682"/>
      <c r="I84" s="2682"/>
      <c r="J84" s="2682"/>
      <c r="K84" s="2682"/>
      <c r="L84" s="2682"/>
      <c r="M84" s="234"/>
      <c r="N84" s="271"/>
      <c r="AH84" s="311">
        <v>19</v>
      </c>
    </row>
    <row r="85" spans="1:34" ht="35.65" customHeight="1">
      <c r="A85" s="1698"/>
      <c r="B85" s="1698"/>
      <c r="D85" s="313"/>
      <c r="E85" s="336"/>
      <c r="F85" s="135" t="s">
        <v>304</v>
      </c>
      <c r="G85" s="135" t="s">
        <v>304</v>
      </c>
      <c r="H85" s="2451" t="s">
        <v>304</v>
      </c>
      <c r="I85" s="2453"/>
      <c r="J85" s="135" t="s">
        <v>304</v>
      </c>
      <c r="K85" s="135" t="s">
        <v>304</v>
      </c>
      <c r="L85" s="338"/>
      <c r="M85" s="282" t="s">
        <v>1188</v>
      </c>
      <c r="N85" s="271"/>
      <c r="AH85" s="311">
        <v>34</v>
      </c>
    </row>
    <row r="86" spans="1:34" ht="19.899999999999999" customHeight="1">
      <c r="A86" s="1698"/>
      <c r="B86" s="1698"/>
      <c r="D86" s="313"/>
      <c r="E86" s="85" t="s">
        <v>89</v>
      </c>
      <c r="F86" s="2682" t="s">
        <v>1189</v>
      </c>
      <c r="G86" s="2682"/>
      <c r="H86" s="2682"/>
      <c r="I86" s="2682"/>
      <c r="J86" s="2682"/>
      <c r="K86" s="2682"/>
      <c r="L86" s="2682"/>
      <c r="M86" s="234"/>
      <c r="N86" s="271"/>
      <c r="AH86" s="311">
        <v>19</v>
      </c>
    </row>
    <row r="87" spans="1:34" s="2238" customFormat="1" ht="60.75" hidden="1" customHeight="1">
      <c r="A87" s="1698" t="s">
        <v>155</v>
      </c>
      <c r="B87" s="1698" t="s">
        <v>156</v>
      </c>
      <c r="C87" s="306"/>
      <c r="D87" s="2683"/>
      <c r="E87" s="2437"/>
      <c r="F87" s="258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659" t="str">
        <f>INDEX(PT_DIFFERENTIATION_NTAR,MATCH(B87,PT_DIFFERENTIATION_NTAR_ID,0))</f>
        <v/>
      </c>
      <c r="H87" s="1778"/>
      <c r="I87" s="1657"/>
      <c r="J87" s="1691"/>
      <c r="K87" s="1696"/>
      <c r="L87" s="1778" t="s">
        <v>304</v>
      </c>
      <c r="M87" s="240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3"/>
      <c r="P87" s="1543"/>
      <c r="AH87" s="1550">
        <v>0</v>
      </c>
    </row>
    <row r="88" spans="1:34" s="2238" customFormat="1" ht="18.75" hidden="1" customHeight="1">
      <c r="A88" s="1698"/>
      <c r="B88" s="1698"/>
      <c r="C88" s="306" t="s">
        <v>1183</v>
      </c>
      <c r="D88" s="2683"/>
      <c r="E88" s="2437"/>
      <c r="F88" s="2580"/>
      <c r="G88" s="2659"/>
      <c r="H88" s="1419"/>
      <c r="I88" s="588" t="s">
        <v>1182</v>
      </c>
      <c r="J88" s="508"/>
      <c r="K88" s="1419"/>
      <c r="L88" s="151"/>
      <c r="M88" s="2406"/>
      <c r="N88" s="271"/>
      <c r="O88" s="1543"/>
      <c r="P88" s="1543"/>
      <c r="AH88" s="1550">
        <v>0</v>
      </c>
    </row>
    <row r="89" spans="1:34" s="2238" customFormat="1" ht="0.75" hidden="1" customHeight="1">
      <c r="A89" s="1698"/>
      <c r="B89" s="1698"/>
      <c r="C89" s="306" t="s">
        <v>1190</v>
      </c>
      <c r="D89" s="2683"/>
      <c r="E89" s="2437"/>
      <c r="F89" s="2580"/>
      <c r="G89" s="337"/>
      <c r="H89" s="1419"/>
      <c r="I89" s="588"/>
      <c r="J89" s="508"/>
      <c r="K89" s="1419"/>
      <c r="L89" s="151"/>
      <c r="M89" s="2406"/>
      <c r="N89" s="271"/>
      <c r="O89" s="1543"/>
      <c r="P89" s="1543"/>
      <c r="AH89" s="1550">
        <v>0</v>
      </c>
    </row>
    <row r="90" spans="1:34" s="2238" customFormat="1" ht="45" hidden="1" customHeight="1">
      <c r="A90" s="1698" t="s">
        <v>160</v>
      </c>
      <c r="B90" s="1698" t="s">
        <v>161</v>
      </c>
      <c r="C90" s="306"/>
      <c r="D90" s="2683"/>
      <c r="E90" s="2437"/>
      <c r="F90" s="2580" t="str">
        <f>INDEX(PT_DIFFERENTIATION_VTAR,MATCH(A90,PT_DIFFERENTIATION_VTAR_ID,0))</f>
        <v/>
      </c>
      <c r="G90" s="2659" t="str">
        <f>INDEX(PT_DIFFERENTIATION_NTAR,MATCH(B90,PT_DIFFERENTIATION_NTAR_ID,0))</f>
        <v/>
      </c>
      <c r="H90" s="1778"/>
      <c r="I90" s="1657"/>
      <c r="J90" s="1691"/>
      <c r="K90" s="1696"/>
      <c r="L90" s="1778" t="s">
        <v>304</v>
      </c>
      <c r="M90" s="2407"/>
      <c r="N90" s="271"/>
      <c r="O90" s="1543"/>
      <c r="P90" s="1543"/>
      <c r="AH90" s="1550">
        <v>0</v>
      </c>
    </row>
    <row r="91" spans="1:34" s="2238" customFormat="1" ht="18.75" hidden="1" customHeight="1">
      <c r="A91" s="1698"/>
      <c r="B91" s="1698"/>
      <c r="C91" s="306" t="s">
        <v>1183</v>
      </c>
      <c r="D91" s="2683"/>
      <c r="E91" s="2437"/>
      <c r="F91" s="2580"/>
      <c r="G91" s="2659"/>
      <c r="H91" s="1419"/>
      <c r="I91" s="588" t="s">
        <v>1182</v>
      </c>
      <c r="J91" s="508"/>
      <c r="K91" s="1419"/>
      <c r="L91" s="151"/>
      <c r="M91" s="1777"/>
      <c r="N91" s="271"/>
      <c r="O91" s="1543"/>
      <c r="P91" s="1543"/>
      <c r="AH91" s="1550">
        <v>0</v>
      </c>
    </row>
    <row r="92" spans="1:34" s="2238" customFormat="1" ht="0.75" hidden="1" customHeight="1">
      <c r="A92" s="1698"/>
      <c r="B92" s="1698"/>
      <c r="C92" s="306" t="s">
        <v>1190</v>
      </c>
      <c r="D92" s="2683"/>
      <c r="E92" s="2437"/>
      <c r="F92" s="2580"/>
      <c r="G92" s="337"/>
      <c r="H92" s="1419"/>
      <c r="I92" s="588"/>
      <c r="J92" s="508"/>
      <c r="K92" s="1419"/>
      <c r="L92" s="151"/>
      <c r="M92" s="278"/>
      <c r="N92" s="271"/>
      <c r="O92" s="1543"/>
      <c r="P92" s="1543"/>
      <c r="AH92" s="1550">
        <v>0</v>
      </c>
    </row>
    <row r="93" spans="1:34" s="2238" customFormat="1" ht="45" hidden="1" customHeight="1">
      <c r="A93" s="1698" t="s">
        <v>167</v>
      </c>
      <c r="B93" s="1698" t="s">
        <v>168</v>
      </c>
      <c r="C93" s="306"/>
      <c r="D93" s="2683"/>
      <c r="E93" s="2437"/>
      <c r="F93" s="258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659" t="str">
        <f>INDEX(PT_DIFFERENTIATION_NTAR,MATCH(B93,PT_DIFFERENTIATION_NTAR_ID,0))</f>
        <v/>
      </c>
      <c r="H93" s="1778"/>
      <c r="I93" s="1657"/>
      <c r="J93" s="1691"/>
      <c r="K93" s="1696"/>
      <c r="L93" s="1778" t="s">
        <v>304</v>
      </c>
      <c r="M93" s="278"/>
      <c r="N93" s="271"/>
      <c r="O93" s="1543"/>
      <c r="P93" s="1543"/>
      <c r="AH93" s="1550">
        <v>0</v>
      </c>
    </row>
    <row r="94" spans="1:34" s="2238" customFormat="1" ht="18.75" hidden="1" customHeight="1">
      <c r="A94" s="1698"/>
      <c r="B94" s="1698"/>
      <c r="C94" s="306" t="s">
        <v>1183</v>
      </c>
      <c r="D94" s="2683"/>
      <c r="E94" s="2437"/>
      <c r="F94" s="2580"/>
      <c r="G94" s="2659"/>
      <c r="H94" s="1419"/>
      <c r="I94" s="588" t="s">
        <v>1182</v>
      </c>
      <c r="J94" s="508"/>
      <c r="K94" s="1419"/>
      <c r="L94" s="151"/>
      <c r="M94" s="278"/>
      <c r="N94" s="271"/>
      <c r="O94" s="1543"/>
      <c r="P94" s="1543"/>
      <c r="AH94" s="1550">
        <v>0</v>
      </c>
    </row>
    <row r="95" spans="1:34" s="2238" customFormat="1" ht="0.75" hidden="1" customHeight="1">
      <c r="A95" s="1698"/>
      <c r="B95" s="1698"/>
      <c r="C95" s="306" t="s">
        <v>1190</v>
      </c>
      <c r="D95" s="2683"/>
      <c r="E95" s="2437"/>
      <c r="F95" s="2580"/>
      <c r="G95" s="337"/>
      <c r="H95" s="1419"/>
      <c r="I95" s="588"/>
      <c r="J95" s="508"/>
      <c r="K95" s="1419"/>
      <c r="L95" s="151"/>
      <c r="M95" s="278"/>
      <c r="N95" s="271"/>
      <c r="O95" s="1543"/>
      <c r="P95" s="1543"/>
      <c r="AH95" s="1550">
        <v>0</v>
      </c>
    </row>
    <row r="96" spans="1:34" s="2238" customFormat="1" ht="45" hidden="1" customHeight="1">
      <c r="A96" s="1698" t="s">
        <v>173</v>
      </c>
      <c r="B96" s="1698" t="s">
        <v>174</v>
      </c>
      <c r="C96" s="306"/>
      <c r="D96" s="2683"/>
      <c r="E96" s="2437"/>
      <c r="F96" s="258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659" t="str">
        <f>INDEX(PT_DIFFERENTIATION_NTAR,MATCH(B96,PT_DIFFERENTIATION_NTAR_ID,0))</f>
        <v/>
      </c>
      <c r="H96" s="1778"/>
      <c r="I96" s="1657"/>
      <c r="J96" s="1691"/>
      <c r="K96" s="1696"/>
      <c r="L96" s="1778" t="s">
        <v>304</v>
      </c>
      <c r="M96" s="278"/>
      <c r="N96" s="271"/>
      <c r="O96" s="1543"/>
      <c r="P96" s="1543"/>
      <c r="AH96" s="1550">
        <v>0</v>
      </c>
    </row>
    <row r="97" spans="1:34" s="2238" customFormat="1" ht="18.75" hidden="1" customHeight="1">
      <c r="A97" s="1698"/>
      <c r="B97" s="1698"/>
      <c r="C97" s="306" t="s">
        <v>1183</v>
      </c>
      <c r="D97" s="2683"/>
      <c r="E97" s="2437"/>
      <c r="F97" s="2580"/>
      <c r="G97" s="2659"/>
      <c r="H97" s="1419"/>
      <c r="I97" s="588" t="s">
        <v>1182</v>
      </c>
      <c r="J97" s="508"/>
      <c r="K97" s="1419"/>
      <c r="L97" s="151"/>
      <c r="M97" s="278"/>
      <c r="N97" s="271"/>
      <c r="O97" s="1543"/>
      <c r="P97" s="1543"/>
      <c r="AH97" s="1550">
        <v>0</v>
      </c>
    </row>
    <row r="98" spans="1:34" s="2238" customFormat="1" ht="0.75" hidden="1" customHeight="1">
      <c r="A98" s="1698"/>
      <c r="B98" s="1698"/>
      <c r="C98" s="306" t="s">
        <v>1190</v>
      </c>
      <c r="D98" s="2683"/>
      <c r="E98" s="2437"/>
      <c r="F98" s="2580"/>
      <c r="G98" s="337"/>
      <c r="H98" s="1419"/>
      <c r="I98" s="588"/>
      <c r="J98" s="508"/>
      <c r="K98" s="1419"/>
      <c r="L98" s="151"/>
      <c r="M98" s="278"/>
      <c r="N98" s="271"/>
      <c r="O98" s="1543"/>
      <c r="P98" s="1543"/>
      <c r="AH98" s="1550">
        <v>0</v>
      </c>
    </row>
    <row r="99" spans="1:34" s="2238" customFormat="1" ht="18.75" hidden="1" customHeight="1">
      <c r="A99" s="1698" t="s">
        <v>179</v>
      </c>
      <c r="B99" s="1698" t="s">
        <v>180</v>
      </c>
      <c r="C99" s="306"/>
      <c r="D99" s="2683"/>
      <c r="E99" s="2437"/>
      <c r="F99" s="2580" t="str">
        <f>INDEX(PT_DIFFERENTIATION_VTAR,MATCH(A99,PT_DIFFERENTIATION_VTAR_ID,0))</f>
        <v>Тарифы на услуги по передаче тепловой энергии</v>
      </c>
      <c r="G99" s="2659" t="str">
        <f>INDEX(PT_DIFFERENTIATION_NTAR,MATCH(B99,PT_DIFFERENTIATION_NTAR_ID,0))</f>
        <v/>
      </c>
      <c r="H99" s="1778"/>
      <c r="I99" s="1657"/>
      <c r="J99" s="1691"/>
      <c r="K99" s="1696"/>
      <c r="L99" s="1778" t="s">
        <v>304</v>
      </c>
      <c r="M99" s="278"/>
      <c r="N99" s="271"/>
      <c r="O99" s="1543"/>
      <c r="P99" s="1543"/>
      <c r="AH99" s="1550">
        <v>0</v>
      </c>
    </row>
    <row r="100" spans="1:34" s="2238" customFormat="1" ht="18.75" hidden="1" customHeight="1">
      <c r="A100" s="1698"/>
      <c r="B100" s="1698"/>
      <c r="C100" s="306" t="s">
        <v>1183</v>
      </c>
      <c r="D100" s="2683"/>
      <c r="E100" s="2437"/>
      <c r="F100" s="2580"/>
      <c r="G100" s="2659"/>
      <c r="H100" s="1419"/>
      <c r="I100" s="588" t="s">
        <v>1182</v>
      </c>
      <c r="J100" s="508"/>
      <c r="K100" s="1419"/>
      <c r="L100" s="151"/>
      <c r="M100" s="278"/>
      <c r="N100" s="271"/>
      <c r="O100" s="1543"/>
      <c r="P100" s="1543"/>
      <c r="AH100" s="1550">
        <v>0</v>
      </c>
    </row>
    <row r="101" spans="1:34" s="2238" customFormat="1" ht="0.75" hidden="1" customHeight="1">
      <c r="A101" s="1698"/>
      <c r="B101" s="1698"/>
      <c r="C101" s="306" t="s">
        <v>1190</v>
      </c>
      <c r="D101" s="2683"/>
      <c r="E101" s="2437"/>
      <c r="F101" s="2580"/>
      <c r="G101" s="337"/>
      <c r="H101" s="1419"/>
      <c r="I101" s="588"/>
      <c r="J101" s="508"/>
      <c r="K101" s="1419"/>
      <c r="L101" s="151"/>
      <c r="M101" s="278"/>
      <c r="N101" s="271"/>
      <c r="O101" s="1543"/>
      <c r="P101" s="1543"/>
      <c r="AH101" s="1550">
        <v>0</v>
      </c>
    </row>
    <row r="102" spans="1:34" s="2238" customFormat="1" ht="18.75" hidden="1" customHeight="1">
      <c r="A102" s="1698" t="s">
        <v>185</v>
      </c>
      <c r="B102" s="1698" t="s">
        <v>186</v>
      </c>
      <c r="C102" s="306"/>
      <c r="D102" s="2683"/>
      <c r="E102" s="2437"/>
      <c r="F102" s="2580" t="str">
        <f>INDEX(PT_DIFFERENTIATION_VTAR,MATCH(A102,PT_DIFFERENTIATION_VTAR_ID,0))</f>
        <v>Тарифы на услуги по передаче теплоносителя</v>
      </c>
      <c r="G102" s="2659" t="str">
        <f>INDEX(PT_DIFFERENTIATION_NTAR,MATCH(B102,PT_DIFFERENTIATION_NTAR_ID,0))</f>
        <v/>
      </c>
      <c r="H102" s="1778"/>
      <c r="I102" s="1657"/>
      <c r="J102" s="1691"/>
      <c r="K102" s="1696"/>
      <c r="L102" s="1778" t="s">
        <v>304</v>
      </c>
      <c r="M102" s="278"/>
      <c r="N102" s="271"/>
      <c r="O102" s="1543"/>
      <c r="P102" s="1543"/>
      <c r="AH102" s="1550">
        <v>0</v>
      </c>
    </row>
    <row r="103" spans="1:34" s="2238" customFormat="1" ht="18.75" hidden="1" customHeight="1">
      <c r="A103" s="1698"/>
      <c r="B103" s="1698"/>
      <c r="C103" s="306" t="s">
        <v>1183</v>
      </c>
      <c r="D103" s="2683"/>
      <c r="E103" s="2437"/>
      <c r="F103" s="2580"/>
      <c r="G103" s="2659"/>
      <c r="H103" s="1419"/>
      <c r="I103" s="588" t="s">
        <v>1182</v>
      </c>
      <c r="J103" s="508"/>
      <c r="K103" s="1419"/>
      <c r="L103" s="151"/>
      <c r="M103" s="278"/>
      <c r="N103" s="271"/>
      <c r="O103" s="1543"/>
      <c r="P103" s="1543"/>
      <c r="AH103" s="1550">
        <v>0</v>
      </c>
    </row>
    <row r="104" spans="1:34" s="2238" customFormat="1" ht="0.75" hidden="1" customHeight="1">
      <c r="A104" s="1698"/>
      <c r="B104" s="1698"/>
      <c r="C104" s="306" t="s">
        <v>1190</v>
      </c>
      <c r="D104" s="2683"/>
      <c r="E104" s="2437"/>
      <c r="F104" s="2580"/>
      <c r="G104" s="337"/>
      <c r="H104" s="1419"/>
      <c r="I104" s="588"/>
      <c r="J104" s="508"/>
      <c r="K104" s="1419"/>
      <c r="L104" s="151"/>
      <c r="M104" s="278"/>
      <c r="N104" s="271"/>
      <c r="O104" s="1543"/>
      <c r="P104" s="1543"/>
      <c r="AH104" s="1550">
        <v>0</v>
      </c>
    </row>
    <row r="105" spans="1:34" s="2238" customFormat="1" ht="18.75" hidden="1" customHeight="1">
      <c r="A105" s="1698" t="s">
        <v>191</v>
      </c>
      <c r="B105" s="1698" t="s">
        <v>192</v>
      </c>
      <c r="C105" s="306"/>
      <c r="D105" s="2683"/>
      <c r="E105" s="2437"/>
      <c r="F105" s="258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659" t="str">
        <f>INDEX(PT_DIFFERENTIATION_NTAR,MATCH(B105,PT_DIFFERENTIATION_NTAR_ID,0))</f>
        <v/>
      </c>
      <c r="H105" s="1778"/>
      <c r="I105" s="1657"/>
      <c r="J105" s="1691"/>
      <c r="K105" s="1696"/>
      <c r="L105" s="1778" t="s">
        <v>304</v>
      </c>
      <c r="M105" s="278"/>
      <c r="N105" s="271"/>
      <c r="O105" s="1543"/>
      <c r="P105" s="1543"/>
      <c r="AH105" s="1550">
        <v>0</v>
      </c>
    </row>
    <row r="106" spans="1:34" s="2238" customFormat="1" ht="18.75" hidden="1" customHeight="1">
      <c r="A106" s="1698"/>
      <c r="B106" s="1698"/>
      <c r="C106" s="306" t="s">
        <v>1183</v>
      </c>
      <c r="D106" s="2683"/>
      <c r="E106" s="2437"/>
      <c r="F106" s="2580"/>
      <c r="G106" s="2659"/>
      <c r="H106" s="1419"/>
      <c r="I106" s="588" t="s">
        <v>1182</v>
      </c>
      <c r="J106" s="508"/>
      <c r="K106" s="1419"/>
      <c r="L106" s="151"/>
      <c r="M106" s="278"/>
      <c r="N106" s="271"/>
      <c r="O106" s="1543"/>
      <c r="P106" s="1543"/>
      <c r="AH106" s="1550">
        <v>0</v>
      </c>
    </row>
    <row r="107" spans="1:34" s="2238" customFormat="1" ht="0.75" hidden="1" customHeight="1">
      <c r="A107" s="1698"/>
      <c r="B107" s="1698"/>
      <c r="C107" s="306" t="s">
        <v>1190</v>
      </c>
      <c r="D107" s="2683"/>
      <c r="E107" s="2437"/>
      <c r="F107" s="2580"/>
      <c r="G107" s="337"/>
      <c r="H107" s="1419"/>
      <c r="I107" s="588"/>
      <c r="J107" s="508"/>
      <c r="K107" s="1419"/>
      <c r="L107" s="151"/>
      <c r="M107" s="278"/>
      <c r="N107" s="271"/>
      <c r="O107" s="1543"/>
      <c r="P107" s="1543"/>
      <c r="AH107" s="1550">
        <v>0</v>
      </c>
    </row>
    <row r="108" spans="1:34" s="2238" customFormat="1" ht="18.75" hidden="1" customHeight="1">
      <c r="A108" s="1698" t="s">
        <v>197</v>
      </c>
      <c r="B108" s="1698" t="s">
        <v>198</v>
      </c>
      <c r="C108" s="306"/>
      <c r="D108" s="2683"/>
      <c r="E108" s="2437"/>
      <c r="F108" s="2580" t="str">
        <f>INDEX(PT_DIFFERENTIATION_VTAR,MATCH(A108,PT_DIFFERENTIATION_VTAR_ID,0))</f>
        <v>Плата за подключение (технологическое присоединение) к системе теплоснабжения</v>
      </c>
      <c r="G108" s="2659" t="str">
        <f>INDEX(PT_DIFFERENTIATION_NTAR,MATCH(B108,PT_DIFFERENTIATION_NTAR_ID,0))</f>
        <v/>
      </c>
      <c r="H108" s="1778"/>
      <c r="I108" s="1657"/>
      <c r="J108" s="1691"/>
      <c r="K108" s="1696"/>
      <c r="L108" s="1778" t="s">
        <v>304</v>
      </c>
      <c r="M108" s="278"/>
      <c r="N108" s="271"/>
      <c r="O108" s="1543"/>
      <c r="P108" s="1543"/>
      <c r="AH108" s="1550">
        <v>0</v>
      </c>
    </row>
    <row r="109" spans="1:34" s="2238" customFormat="1" ht="18.75" hidden="1" customHeight="1">
      <c r="A109" s="1698"/>
      <c r="B109" s="1698"/>
      <c r="C109" s="306" t="s">
        <v>1183</v>
      </c>
      <c r="D109" s="2683"/>
      <c r="E109" s="2437"/>
      <c r="F109" s="2580"/>
      <c r="G109" s="2659"/>
      <c r="H109" s="1419"/>
      <c r="I109" s="588" t="s">
        <v>1182</v>
      </c>
      <c r="J109" s="508"/>
      <c r="K109" s="1419"/>
      <c r="L109" s="151"/>
      <c r="M109" s="278"/>
      <c r="N109" s="271"/>
      <c r="O109" s="1543"/>
      <c r="P109" s="1543"/>
      <c r="AH109" s="1550">
        <v>0</v>
      </c>
    </row>
    <row r="110" spans="1:34" s="2238" customFormat="1" ht="0.75" hidden="1" customHeight="1">
      <c r="A110" s="1698"/>
      <c r="B110" s="1698"/>
      <c r="C110" s="306" t="s">
        <v>1190</v>
      </c>
      <c r="D110" s="2683"/>
      <c r="E110" s="2437"/>
      <c r="F110" s="2580"/>
      <c r="G110" s="337"/>
      <c r="H110" s="1419"/>
      <c r="I110" s="588"/>
      <c r="J110" s="508"/>
      <c r="K110" s="1419"/>
      <c r="L110" s="151"/>
      <c r="M110" s="278"/>
      <c r="N110" s="271"/>
      <c r="O110" s="1543"/>
      <c r="P110" s="1543"/>
      <c r="AH110" s="1550">
        <v>0</v>
      </c>
    </row>
    <row r="111" spans="1:34" s="2238" customFormat="1" ht="18.75" hidden="1" customHeight="1">
      <c r="A111" s="1698" t="s">
        <v>203</v>
      </c>
      <c r="B111" s="1698" t="s">
        <v>204</v>
      </c>
      <c r="C111" s="306"/>
      <c r="D111" s="2683"/>
      <c r="E111" s="2437"/>
      <c r="F111" s="2580" t="str">
        <f>INDEX(PT_DIFFERENTIATION_VTAR,MATCH(A111,PT_DIFFERENTIATION_VTAR_ID,0))</f>
        <v>Плата за подключение (технологическое присоединение) к системе теплоснабжения (индивидуальная)</v>
      </c>
      <c r="G111" s="2659" t="str">
        <f>INDEX(PT_DIFFERENTIATION_NTAR,MATCH(B111,PT_DIFFERENTIATION_NTAR_ID,0))</f>
        <v/>
      </c>
      <c r="H111" s="1902"/>
      <c r="I111" s="1657"/>
      <c r="J111" s="1691"/>
      <c r="K111" s="1696"/>
      <c r="L111" s="1902" t="s">
        <v>304</v>
      </c>
      <c r="M111" s="278"/>
      <c r="N111" s="271"/>
      <c r="O111" s="1543"/>
      <c r="P111" s="1543"/>
      <c r="AH111" s="1550">
        <v>0</v>
      </c>
    </row>
    <row r="112" spans="1:34" s="2238" customFormat="1" ht="18.75" hidden="1" customHeight="1">
      <c r="A112" s="1698"/>
      <c r="B112" s="1698"/>
      <c r="C112" s="306" t="s">
        <v>1183</v>
      </c>
      <c r="D112" s="2683"/>
      <c r="E112" s="2437"/>
      <c r="F112" s="2580"/>
      <c r="G112" s="2659"/>
      <c r="H112" s="1419"/>
      <c r="I112" s="588" t="s">
        <v>1182</v>
      </c>
      <c r="J112" s="508"/>
      <c r="K112" s="1419"/>
      <c r="L112" s="151"/>
      <c r="M112" s="278"/>
      <c r="N112" s="271"/>
      <c r="O112" s="1543"/>
      <c r="P112" s="1543"/>
      <c r="AH112" s="1550">
        <v>0</v>
      </c>
    </row>
    <row r="113" spans="1:34" s="2238" customFormat="1" ht="0.75" hidden="1" customHeight="1">
      <c r="A113" s="1698"/>
      <c r="B113" s="1698"/>
      <c r="C113" s="306" t="s">
        <v>1190</v>
      </c>
      <c r="D113" s="2683"/>
      <c r="E113" s="2437"/>
      <c r="F113" s="2580"/>
      <c r="G113" s="337"/>
      <c r="H113" s="1419"/>
      <c r="I113" s="588"/>
      <c r="J113" s="508"/>
      <c r="K113" s="1419"/>
      <c r="L113" s="151"/>
      <c r="M113" s="278"/>
      <c r="N113" s="271"/>
      <c r="O113" s="1543"/>
      <c r="P113" s="1543"/>
      <c r="AH113" s="1550">
        <v>0</v>
      </c>
    </row>
    <row r="114" spans="1:34" s="2238" customFormat="1" ht="18.75" hidden="1" customHeight="1">
      <c r="A114" s="1698" t="s">
        <v>223</v>
      </c>
      <c r="B114" s="1698" t="s">
        <v>224</v>
      </c>
      <c r="C114" s="306"/>
      <c r="D114" s="2683"/>
      <c r="E114" s="2437"/>
      <c r="F114" s="2580" t="str">
        <f>INDEX(PT_DIFFERENTIATION_VTAR,MATCH(A114,PT_DIFFERENTIATION_VTAR_ID,0))</f>
        <v>Тариф на питьевую воду (питьевое водоснабжение)</v>
      </c>
      <c r="G114" s="2659" t="str">
        <f>INDEX(PT_DIFFERENTIATION_NTAR,MATCH(B114,PT_DIFFERENTIATION_NTAR_ID,0))</f>
        <v/>
      </c>
      <c r="H114" s="1778"/>
      <c r="I114" s="1657"/>
      <c r="J114" s="1691"/>
      <c r="K114" s="1696"/>
      <c r="L114" s="1778" t="s">
        <v>304</v>
      </c>
      <c r="M114" s="278"/>
      <c r="N114" s="271"/>
      <c r="O114" s="1543"/>
      <c r="P114" s="1543"/>
      <c r="AH114" s="1550">
        <v>0</v>
      </c>
    </row>
    <row r="115" spans="1:34" s="2238" customFormat="1" ht="18.75" hidden="1" customHeight="1">
      <c r="A115" s="1698"/>
      <c r="B115" s="1698"/>
      <c r="C115" s="306" t="s">
        <v>1183</v>
      </c>
      <c r="D115" s="2683"/>
      <c r="E115" s="2437"/>
      <c r="F115" s="2580"/>
      <c r="G115" s="2659"/>
      <c r="H115" s="1419"/>
      <c r="I115" s="588" t="s">
        <v>1182</v>
      </c>
      <c r="J115" s="508"/>
      <c r="K115" s="1419"/>
      <c r="L115" s="151"/>
      <c r="M115" s="278"/>
      <c r="N115" s="271"/>
      <c r="O115" s="1543"/>
      <c r="P115" s="1543"/>
      <c r="AH115" s="1550">
        <v>0</v>
      </c>
    </row>
    <row r="116" spans="1:34" s="2238" customFormat="1" ht="0.75" hidden="1" customHeight="1">
      <c r="A116" s="1698"/>
      <c r="B116" s="1698"/>
      <c r="C116" s="306" t="s">
        <v>1190</v>
      </c>
      <c r="D116" s="2683"/>
      <c r="E116" s="2437"/>
      <c r="F116" s="2580"/>
      <c r="G116" s="337"/>
      <c r="H116" s="1419"/>
      <c r="I116" s="588"/>
      <c r="J116" s="508"/>
      <c r="K116" s="1419"/>
      <c r="L116" s="151"/>
      <c r="M116" s="278"/>
      <c r="N116" s="271"/>
      <c r="O116" s="1543"/>
      <c r="P116" s="1543"/>
      <c r="AH116" s="1550">
        <v>0</v>
      </c>
    </row>
    <row r="117" spans="1:34" s="2238" customFormat="1" ht="18.75" hidden="1" customHeight="1">
      <c r="A117" s="1698" t="s">
        <v>228</v>
      </c>
      <c r="B117" s="1698" t="s">
        <v>229</v>
      </c>
      <c r="C117" s="306"/>
      <c r="D117" s="2683"/>
      <c r="E117" s="2437"/>
      <c r="F117" s="2580" t="str">
        <f>INDEX(PT_DIFFERENTIATION_VTAR,MATCH(A117,PT_DIFFERENTIATION_VTAR_ID,0))</f>
        <v>Тариф на техническую воду</v>
      </c>
      <c r="G117" s="2659" t="str">
        <f>INDEX(PT_DIFFERENTIATION_NTAR,MATCH(B117,PT_DIFFERENTIATION_NTAR_ID,0))</f>
        <v/>
      </c>
      <c r="H117" s="1778"/>
      <c r="I117" s="1657"/>
      <c r="J117" s="1691"/>
      <c r="K117" s="1696"/>
      <c r="L117" s="1778" t="s">
        <v>304</v>
      </c>
      <c r="M117" s="278"/>
      <c r="N117" s="271"/>
      <c r="O117" s="1543"/>
      <c r="P117" s="1543"/>
      <c r="AH117" s="1550">
        <v>0</v>
      </c>
    </row>
    <row r="118" spans="1:34" s="2238" customFormat="1" ht="18.75" hidden="1" customHeight="1">
      <c r="A118" s="1698"/>
      <c r="B118" s="1698"/>
      <c r="C118" s="306" t="s">
        <v>1183</v>
      </c>
      <c r="D118" s="2683"/>
      <c r="E118" s="2437"/>
      <c r="F118" s="2580"/>
      <c r="G118" s="2659"/>
      <c r="H118" s="1419"/>
      <c r="I118" s="588" t="s">
        <v>1182</v>
      </c>
      <c r="J118" s="508"/>
      <c r="K118" s="1419"/>
      <c r="L118" s="151"/>
      <c r="M118" s="278"/>
      <c r="N118" s="271"/>
      <c r="O118" s="1543"/>
      <c r="P118" s="1543"/>
      <c r="AH118" s="1550">
        <v>0</v>
      </c>
    </row>
    <row r="119" spans="1:34" s="2238" customFormat="1" ht="0.75" hidden="1" customHeight="1">
      <c r="A119" s="1698"/>
      <c r="B119" s="1698"/>
      <c r="C119" s="306" t="s">
        <v>1190</v>
      </c>
      <c r="D119" s="2683"/>
      <c r="E119" s="2437"/>
      <c r="F119" s="2580"/>
      <c r="G119" s="337"/>
      <c r="H119" s="1419"/>
      <c r="I119" s="588"/>
      <c r="J119" s="508"/>
      <c r="K119" s="1419"/>
      <c r="L119" s="151"/>
      <c r="M119" s="278"/>
      <c r="N119" s="271"/>
      <c r="O119" s="1543"/>
      <c r="P119" s="1543"/>
      <c r="AH119" s="1550">
        <v>0</v>
      </c>
    </row>
    <row r="120" spans="1:34" s="2238" customFormat="1" ht="18.75" hidden="1" customHeight="1">
      <c r="A120" s="1698" t="s">
        <v>233</v>
      </c>
      <c r="B120" s="1698" t="s">
        <v>234</v>
      </c>
      <c r="C120" s="306"/>
      <c r="D120" s="2683"/>
      <c r="E120" s="2437"/>
      <c r="F120" s="2580" t="str">
        <f>INDEX(PT_DIFFERENTIATION_VTAR,MATCH(A120,PT_DIFFERENTIATION_VTAR_ID,0))</f>
        <v>Тариф на транспортировку воды</v>
      </c>
      <c r="G120" s="2659" t="str">
        <f>INDEX(PT_DIFFERENTIATION_NTAR,MATCH(B120,PT_DIFFERENTIATION_NTAR_ID,0))</f>
        <v/>
      </c>
      <c r="H120" s="1778"/>
      <c r="I120" s="1657"/>
      <c r="J120" s="1691"/>
      <c r="K120" s="1696"/>
      <c r="L120" s="1778" t="s">
        <v>304</v>
      </c>
      <c r="M120" s="278"/>
      <c r="N120" s="271"/>
      <c r="O120" s="1543"/>
      <c r="P120" s="1543"/>
      <c r="AH120" s="1550">
        <v>0</v>
      </c>
    </row>
    <row r="121" spans="1:34" s="2238" customFormat="1" ht="18.75" hidden="1" customHeight="1">
      <c r="A121" s="1698"/>
      <c r="B121" s="1698"/>
      <c r="C121" s="306" t="s">
        <v>1183</v>
      </c>
      <c r="D121" s="2683"/>
      <c r="E121" s="2437"/>
      <c r="F121" s="2580"/>
      <c r="G121" s="2659"/>
      <c r="H121" s="1419"/>
      <c r="I121" s="588" t="s">
        <v>1182</v>
      </c>
      <c r="J121" s="508"/>
      <c r="K121" s="1419"/>
      <c r="L121" s="151"/>
      <c r="M121" s="278"/>
      <c r="N121" s="271"/>
      <c r="O121" s="1543"/>
      <c r="P121" s="1543"/>
      <c r="AH121" s="1550">
        <v>0</v>
      </c>
    </row>
    <row r="122" spans="1:34" s="2238" customFormat="1" ht="0.75" hidden="1" customHeight="1">
      <c r="A122" s="1698"/>
      <c r="B122" s="1698"/>
      <c r="C122" s="306" t="s">
        <v>1190</v>
      </c>
      <c r="D122" s="2683"/>
      <c r="E122" s="2437"/>
      <c r="F122" s="2580"/>
      <c r="G122" s="337"/>
      <c r="H122" s="1419"/>
      <c r="I122" s="588"/>
      <c r="J122" s="508"/>
      <c r="K122" s="1419"/>
      <c r="L122" s="151"/>
      <c r="M122" s="278"/>
      <c r="N122" s="271"/>
      <c r="O122" s="1543"/>
      <c r="P122" s="1543"/>
      <c r="AH122" s="1550">
        <v>0</v>
      </c>
    </row>
    <row r="123" spans="1:34" s="2238" customFormat="1" ht="18.75" hidden="1" customHeight="1">
      <c r="A123" s="1698" t="s">
        <v>238</v>
      </c>
      <c r="B123" s="1698" t="s">
        <v>239</v>
      </c>
      <c r="C123" s="306"/>
      <c r="D123" s="2683"/>
      <c r="E123" s="2437"/>
      <c r="F123" s="2580" t="str">
        <f>INDEX(PT_DIFFERENTIATION_VTAR,MATCH(A123,PT_DIFFERENTIATION_VTAR_ID,0))</f>
        <v>Тариф на подвоз воды</v>
      </c>
      <c r="G123" s="2659" t="str">
        <f>INDEX(PT_DIFFERENTIATION_NTAR,MATCH(B123,PT_DIFFERENTIATION_NTAR_ID,0))</f>
        <v/>
      </c>
      <c r="H123" s="1778"/>
      <c r="I123" s="1657"/>
      <c r="J123" s="1691"/>
      <c r="K123" s="1696"/>
      <c r="L123" s="1778" t="s">
        <v>304</v>
      </c>
      <c r="M123" s="278"/>
      <c r="N123" s="271"/>
      <c r="O123" s="1543"/>
      <c r="P123" s="1543"/>
      <c r="AH123" s="1550">
        <v>0</v>
      </c>
    </row>
    <row r="124" spans="1:34" s="2238" customFormat="1" ht="18.75" hidden="1" customHeight="1">
      <c r="A124" s="1698"/>
      <c r="B124" s="1698"/>
      <c r="C124" s="306" t="s">
        <v>1183</v>
      </c>
      <c r="D124" s="2683"/>
      <c r="E124" s="2437"/>
      <c r="F124" s="2580"/>
      <c r="G124" s="2659"/>
      <c r="H124" s="1419"/>
      <c r="I124" s="588" t="s">
        <v>1182</v>
      </c>
      <c r="J124" s="508"/>
      <c r="K124" s="1419"/>
      <c r="L124" s="151"/>
      <c r="M124" s="278"/>
      <c r="N124" s="271"/>
      <c r="O124" s="1543"/>
      <c r="P124" s="1543"/>
      <c r="AH124" s="1550">
        <v>0</v>
      </c>
    </row>
    <row r="125" spans="1:34" s="2238" customFormat="1" ht="0.75" hidden="1" customHeight="1">
      <c r="A125" s="1698"/>
      <c r="B125" s="1698"/>
      <c r="C125" s="306" t="s">
        <v>1190</v>
      </c>
      <c r="D125" s="2683"/>
      <c r="E125" s="2437"/>
      <c r="F125" s="2580"/>
      <c r="G125" s="337"/>
      <c r="H125" s="1419"/>
      <c r="I125" s="588"/>
      <c r="J125" s="508"/>
      <c r="K125" s="1419"/>
      <c r="L125" s="151"/>
      <c r="M125" s="278"/>
      <c r="N125" s="271"/>
      <c r="O125" s="1543"/>
      <c r="P125" s="1543"/>
      <c r="AH125" s="1550">
        <v>0</v>
      </c>
    </row>
    <row r="126" spans="1:34" s="2238" customFormat="1" ht="18.75" hidden="1" customHeight="1">
      <c r="A126" s="1698" t="s">
        <v>243</v>
      </c>
      <c r="B126" s="1698" t="s">
        <v>244</v>
      </c>
      <c r="C126" s="306"/>
      <c r="D126" s="2683"/>
      <c r="E126" s="2437"/>
      <c r="F126" s="258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659" t="str">
        <f>INDEX(PT_DIFFERENTIATION_NTAR,MATCH(B126,PT_DIFFERENTIATION_NTAR_ID,0))</f>
        <v/>
      </c>
      <c r="H126" s="1778"/>
      <c r="I126" s="1657"/>
      <c r="J126" s="1691"/>
      <c r="K126" s="1696"/>
      <c r="L126" s="1778" t="s">
        <v>304</v>
      </c>
      <c r="M126" s="278"/>
      <c r="N126" s="271"/>
      <c r="O126" s="1543"/>
      <c r="P126" s="1543"/>
      <c r="AH126" s="1550">
        <v>0</v>
      </c>
    </row>
    <row r="127" spans="1:34" s="2238" customFormat="1" ht="18.75" hidden="1" customHeight="1">
      <c r="A127" s="1698"/>
      <c r="B127" s="1698"/>
      <c r="C127" s="306" t="s">
        <v>1183</v>
      </c>
      <c r="D127" s="2683"/>
      <c r="E127" s="2437"/>
      <c r="F127" s="2580"/>
      <c r="G127" s="2659"/>
      <c r="H127" s="1419"/>
      <c r="I127" s="588" t="s">
        <v>1182</v>
      </c>
      <c r="J127" s="508"/>
      <c r="K127" s="1419"/>
      <c r="L127" s="151"/>
      <c r="M127" s="278"/>
      <c r="N127" s="271"/>
      <c r="O127" s="1543"/>
      <c r="P127" s="1543"/>
      <c r="AH127" s="1550">
        <v>0</v>
      </c>
    </row>
    <row r="128" spans="1:34" s="2238" customFormat="1" ht="0.75" hidden="1" customHeight="1">
      <c r="A128" s="1698"/>
      <c r="B128" s="1698"/>
      <c r="C128" s="306" t="s">
        <v>1190</v>
      </c>
      <c r="D128" s="2683"/>
      <c r="E128" s="2437"/>
      <c r="F128" s="2580"/>
      <c r="G128" s="337"/>
      <c r="H128" s="1419"/>
      <c r="I128" s="588"/>
      <c r="J128" s="508"/>
      <c r="K128" s="1419"/>
      <c r="L128" s="151"/>
      <c r="M128" s="278"/>
      <c r="N128" s="271"/>
      <c r="O128" s="1543"/>
      <c r="P128" s="1543"/>
      <c r="AH128" s="1550">
        <v>0</v>
      </c>
    </row>
    <row r="129" spans="1:34" s="2238" customFormat="1" ht="18.75" hidden="1" customHeight="1">
      <c r="A129" s="1698" t="s">
        <v>248</v>
      </c>
      <c r="B129" s="1698" t="s">
        <v>249</v>
      </c>
      <c r="C129" s="306"/>
      <c r="D129" s="2683"/>
      <c r="E129" s="2437"/>
      <c r="F129" s="2580" t="str">
        <f>INDEX(PT_DIFFERENTIATION_VTAR,MATCH(A129,PT_DIFFERENTIATION_VTAR_ID,0))</f>
        <v>Тариф на горячую воду (горячее водоснабжение)</v>
      </c>
      <c r="G129" s="2659" t="str">
        <f>INDEX(PT_DIFFERENTIATION_NTAR,MATCH(B129,PT_DIFFERENTIATION_NTAR_ID,0))</f>
        <v/>
      </c>
      <c r="H129" s="1778"/>
      <c r="I129" s="1657"/>
      <c r="J129" s="1691"/>
      <c r="K129" s="1696"/>
      <c r="L129" s="1778" t="s">
        <v>304</v>
      </c>
      <c r="M129" s="278"/>
      <c r="N129" s="271"/>
      <c r="O129" s="1543"/>
      <c r="P129" s="1543"/>
      <c r="AH129" s="1550">
        <v>0</v>
      </c>
    </row>
    <row r="130" spans="1:34" s="2238" customFormat="1" ht="18.75" hidden="1" customHeight="1">
      <c r="A130" s="1698"/>
      <c r="B130" s="1698"/>
      <c r="C130" s="306" t="s">
        <v>1183</v>
      </c>
      <c r="D130" s="2683"/>
      <c r="E130" s="2437"/>
      <c r="F130" s="2580"/>
      <c r="G130" s="2659"/>
      <c r="H130" s="1419"/>
      <c r="I130" s="588" t="s">
        <v>1182</v>
      </c>
      <c r="J130" s="508"/>
      <c r="K130" s="1419"/>
      <c r="L130" s="151"/>
      <c r="M130" s="278"/>
      <c r="N130" s="271"/>
      <c r="O130" s="1543"/>
      <c r="P130" s="1543"/>
      <c r="AH130" s="1550">
        <v>0</v>
      </c>
    </row>
    <row r="131" spans="1:34" s="2238" customFormat="1" ht="0.75" hidden="1" customHeight="1">
      <c r="A131" s="1698"/>
      <c r="B131" s="1698"/>
      <c r="C131" s="306" t="s">
        <v>1190</v>
      </c>
      <c r="D131" s="2683"/>
      <c r="E131" s="2437"/>
      <c r="F131" s="2580"/>
      <c r="G131" s="337"/>
      <c r="H131" s="1419"/>
      <c r="I131" s="588"/>
      <c r="J131" s="508"/>
      <c r="K131" s="1419"/>
      <c r="L131" s="151"/>
      <c r="M131" s="278"/>
      <c r="N131" s="271"/>
      <c r="O131" s="1543"/>
      <c r="P131" s="1543"/>
      <c r="AH131" s="1550">
        <v>0</v>
      </c>
    </row>
    <row r="132" spans="1:34" s="2238" customFormat="1" ht="18.75" hidden="1" customHeight="1">
      <c r="A132" s="1698" t="s">
        <v>253</v>
      </c>
      <c r="B132" s="1698" t="s">
        <v>254</v>
      </c>
      <c r="C132" s="306"/>
      <c r="D132" s="2683"/>
      <c r="E132" s="2437"/>
      <c r="F132" s="2580" t="str">
        <f>INDEX(PT_DIFFERENTIATION_VTAR,MATCH(A132,PT_DIFFERENTIATION_VTAR_ID,0))</f>
        <v>Тариф на транспортировку горячей воды</v>
      </c>
      <c r="G132" s="2659" t="str">
        <f>INDEX(PT_DIFFERENTIATION_NTAR,MATCH(B132,PT_DIFFERENTIATION_NTAR_ID,0))</f>
        <v/>
      </c>
      <c r="H132" s="1778"/>
      <c r="I132" s="1657"/>
      <c r="J132" s="1691"/>
      <c r="K132" s="1696"/>
      <c r="L132" s="1778" t="s">
        <v>304</v>
      </c>
      <c r="M132" s="278"/>
      <c r="N132" s="271"/>
      <c r="O132" s="1543"/>
      <c r="P132" s="1543"/>
      <c r="AH132" s="1550">
        <v>0</v>
      </c>
    </row>
    <row r="133" spans="1:34" s="2238" customFormat="1" ht="18.75" hidden="1" customHeight="1">
      <c r="A133" s="1698"/>
      <c r="B133" s="1698"/>
      <c r="C133" s="306" t="s">
        <v>1183</v>
      </c>
      <c r="D133" s="2683"/>
      <c r="E133" s="2437"/>
      <c r="F133" s="2580"/>
      <c r="G133" s="2659"/>
      <c r="H133" s="1419"/>
      <c r="I133" s="588" t="s">
        <v>1182</v>
      </c>
      <c r="J133" s="508"/>
      <c r="K133" s="1419"/>
      <c r="L133" s="151"/>
      <c r="M133" s="278"/>
      <c r="N133" s="271"/>
      <c r="O133" s="1543"/>
      <c r="P133" s="1543"/>
      <c r="AH133" s="1550">
        <v>0</v>
      </c>
    </row>
    <row r="134" spans="1:34" s="2238" customFormat="1" ht="0.75" hidden="1" customHeight="1">
      <c r="A134" s="1698"/>
      <c r="B134" s="1698"/>
      <c r="C134" s="306" t="s">
        <v>1190</v>
      </c>
      <c r="D134" s="2683"/>
      <c r="E134" s="2437"/>
      <c r="F134" s="2580"/>
      <c r="G134" s="337"/>
      <c r="H134" s="1419"/>
      <c r="I134" s="588"/>
      <c r="J134" s="508"/>
      <c r="K134" s="1419"/>
      <c r="L134" s="151"/>
      <c r="M134" s="278"/>
      <c r="N134" s="271"/>
      <c r="O134" s="1543"/>
      <c r="P134" s="1543"/>
      <c r="AH134" s="1550">
        <v>0</v>
      </c>
    </row>
    <row r="135" spans="1:34" s="2238" customFormat="1" ht="18.75" hidden="1" customHeight="1">
      <c r="A135" s="1698" t="s">
        <v>258</v>
      </c>
      <c r="B135" s="1698" t="s">
        <v>259</v>
      </c>
      <c r="C135" s="306"/>
      <c r="D135" s="2683"/>
      <c r="E135" s="2437"/>
      <c r="F135" s="258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659" t="str">
        <f>INDEX(PT_DIFFERENTIATION_NTAR,MATCH(B135,PT_DIFFERENTIATION_NTAR_ID,0))</f>
        <v/>
      </c>
      <c r="H135" s="1778"/>
      <c r="I135" s="1657"/>
      <c r="J135" s="1691"/>
      <c r="K135" s="1696"/>
      <c r="L135" s="1778" t="s">
        <v>304</v>
      </c>
      <c r="M135" s="278"/>
      <c r="N135" s="271"/>
      <c r="O135" s="1543"/>
      <c r="P135" s="1543"/>
      <c r="AH135" s="1550">
        <v>0</v>
      </c>
    </row>
    <row r="136" spans="1:34" s="2238" customFormat="1" ht="18.75" hidden="1" customHeight="1">
      <c r="A136" s="1698"/>
      <c r="B136" s="1698"/>
      <c r="C136" s="306" t="s">
        <v>1183</v>
      </c>
      <c r="D136" s="2683"/>
      <c r="E136" s="2437"/>
      <c r="F136" s="2580"/>
      <c r="G136" s="2659"/>
      <c r="H136" s="1419"/>
      <c r="I136" s="588" t="s">
        <v>1182</v>
      </c>
      <c r="J136" s="508"/>
      <c r="K136" s="1419"/>
      <c r="L136" s="151"/>
      <c r="M136" s="278"/>
      <c r="N136" s="271"/>
      <c r="O136" s="1543"/>
      <c r="P136" s="1543"/>
      <c r="AH136" s="1550">
        <v>0</v>
      </c>
    </row>
    <row r="137" spans="1:34" s="2238" customFormat="1" ht="0.75" hidden="1" customHeight="1">
      <c r="A137" s="1698"/>
      <c r="B137" s="1698"/>
      <c r="C137" s="306" t="s">
        <v>1190</v>
      </c>
      <c r="D137" s="2683"/>
      <c r="E137" s="2437"/>
      <c r="F137" s="2580"/>
      <c r="G137" s="337"/>
      <c r="H137" s="1419"/>
      <c r="I137" s="588"/>
      <c r="J137" s="508"/>
      <c r="K137" s="1419"/>
      <c r="L137" s="151"/>
      <c r="M137" s="278"/>
      <c r="N137" s="271"/>
      <c r="O137" s="1543"/>
      <c r="P137" s="1543"/>
      <c r="AH137" s="1550">
        <v>0</v>
      </c>
    </row>
    <row r="138" spans="1:34" s="2238" customFormat="1" ht="18.75" hidden="1" customHeight="1">
      <c r="A138" s="1698" t="s">
        <v>263</v>
      </c>
      <c r="B138" s="1698" t="s">
        <v>264</v>
      </c>
      <c r="C138" s="306"/>
      <c r="D138" s="2683"/>
      <c r="E138" s="2437"/>
      <c r="F138" s="2580" t="str">
        <f>INDEX(PT_DIFFERENTIATION_VTAR,MATCH(A138,PT_DIFFERENTIATION_VTAR_ID,0))</f>
        <v>Тариф на водоотведение</v>
      </c>
      <c r="G138" s="2659" t="str">
        <f>INDEX(PT_DIFFERENTIATION_NTAR,MATCH(B138,PT_DIFFERENTIATION_NTAR_ID,0))</f>
        <v/>
      </c>
      <c r="H138" s="1778"/>
      <c r="I138" s="1657"/>
      <c r="J138" s="1691"/>
      <c r="K138" s="1696"/>
      <c r="L138" s="1778" t="s">
        <v>304</v>
      </c>
      <c r="M138" s="278"/>
      <c r="N138" s="271"/>
      <c r="O138" s="1543"/>
      <c r="P138" s="1543"/>
      <c r="AH138" s="1550">
        <v>0</v>
      </c>
    </row>
    <row r="139" spans="1:34" s="2238" customFormat="1" ht="18.75" hidden="1" customHeight="1">
      <c r="A139" s="1698"/>
      <c r="B139" s="1698"/>
      <c r="C139" s="306" t="s">
        <v>1183</v>
      </c>
      <c r="D139" s="2683"/>
      <c r="E139" s="2437"/>
      <c r="F139" s="2580"/>
      <c r="G139" s="2659"/>
      <c r="H139" s="1419"/>
      <c r="I139" s="588" t="s">
        <v>1182</v>
      </c>
      <c r="J139" s="508"/>
      <c r="K139" s="1419"/>
      <c r="L139" s="151"/>
      <c r="M139" s="278"/>
      <c r="N139" s="271"/>
      <c r="O139" s="1543"/>
      <c r="P139" s="1543"/>
      <c r="AH139" s="1550">
        <v>0</v>
      </c>
    </row>
    <row r="140" spans="1:34" s="2238" customFormat="1" ht="0.75" hidden="1" customHeight="1">
      <c r="A140" s="1698"/>
      <c r="B140" s="1698"/>
      <c r="C140" s="306" t="s">
        <v>1190</v>
      </c>
      <c r="D140" s="2683"/>
      <c r="E140" s="2437"/>
      <c r="F140" s="2580"/>
      <c r="G140" s="337"/>
      <c r="H140" s="1419"/>
      <c r="I140" s="588"/>
      <c r="J140" s="508"/>
      <c r="K140" s="1419"/>
      <c r="L140" s="151"/>
      <c r="M140" s="278"/>
      <c r="N140" s="271"/>
      <c r="O140" s="1543"/>
      <c r="P140" s="1543"/>
      <c r="AH140" s="1550">
        <v>0</v>
      </c>
    </row>
    <row r="141" spans="1:34" s="2238" customFormat="1" ht="18.75" hidden="1" customHeight="1">
      <c r="A141" s="1698" t="s">
        <v>268</v>
      </c>
      <c r="B141" s="1698" t="s">
        <v>269</v>
      </c>
      <c r="C141" s="306"/>
      <c r="D141" s="2683"/>
      <c r="E141" s="2437"/>
      <c r="F141" s="2580" t="str">
        <f>INDEX(PT_DIFFERENTIATION_VTAR,MATCH(A141,PT_DIFFERENTIATION_VTAR_ID,0))</f>
        <v>Тариф на транспортировку сточных вод</v>
      </c>
      <c r="G141" s="2659" t="str">
        <f>INDEX(PT_DIFFERENTIATION_NTAR,MATCH(B141,PT_DIFFERENTIATION_NTAR_ID,0))</f>
        <v/>
      </c>
      <c r="H141" s="1778"/>
      <c r="I141" s="1657"/>
      <c r="J141" s="1691"/>
      <c r="K141" s="1696"/>
      <c r="L141" s="1778" t="s">
        <v>304</v>
      </c>
      <c r="M141" s="278"/>
      <c r="N141" s="271"/>
      <c r="O141" s="1543"/>
      <c r="P141" s="1543"/>
      <c r="AH141" s="1550">
        <v>0</v>
      </c>
    </row>
    <row r="142" spans="1:34" s="2238" customFormat="1" ht="18.75" hidden="1" customHeight="1">
      <c r="A142" s="1698"/>
      <c r="B142" s="1698"/>
      <c r="C142" s="306" t="s">
        <v>1183</v>
      </c>
      <c r="D142" s="2683"/>
      <c r="E142" s="2437"/>
      <c r="F142" s="2580"/>
      <c r="G142" s="2659"/>
      <c r="H142" s="1419"/>
      <c r="I142" s="588" t="s">
        <v>1182</v>
      </c>
      <c r="J142" s="508"/>
      <c r="K142" s="1419"/>
      <c r="L142" s="151"/>
      <c r="M142" s="278"/>
      <c r="N142" s="271"/>
      <c r="O142" s="1543"/>
      <c r="P142" s="1543"/>
      <c r="AH142" s="1550">
        <v>0</v>
      </c>
    </row>
    <row r="143" spans="1:34" s="2238" customFormat="1" ht="0.75" hidden="1" customHeight="1">
      <c r="A143" s="1698"/>
      <c r="B143" s="1698"/>
      <c r="C143" s="306" t="s">
        <v>1190</v>
      </c>
      <c r="D143" s="2683"/>
      <c r="E143" s="2437"/>
      <c r="F143" s="2580"/>
      <c r="G143" s="337"/>
      <c r="H143" s="1419"/>
      <c r="I143" s="588"/>
      <c r="J143" s="508"/>
      <c r="K143" s="1419"/>
      <c r="L143" s="151"/>
      <c r="M143" s="278"/>
      <c r="N143" s="271"/>
      <c r="O143" s="1543"/>
      <c r="P143" s="1543"/>
      <c r="AH143" s="1550">
        <v>0</v>
      </c>
    </row>
    <row r="144" spans="1:34" s="2238" customFormat="1" ht="18.75" hidden="1" customHeight="1">
      <c r="A144" s="1698" t="s">
        <v>273</v>
      </c>
      <c r="B144" s="1698" t="s">
        <v>274</v>
      </c>
      <c r="C144" s="306"/>
      <c r="D144" s="2683"/>
      <c r="E144" s="2437"/>
      <c r="F144" s="2580" t="str">
        <f>INDEX(PT_DIFFERENTIATION_VTAR,MATCH(A144,PT_DIFFERENTIATION_VTAR_ID,0))</f>
        <v>Тариф на подключение (технологическое присоединение) к централизованной системе водоотведения</v>
      </c>
      <c r="G144" s="2659" t="str">
        <f>INDEX(PT_DIFFERENTIATION_NTAR,MATCH(B144,PT_DIFFERENTIATION_NTAR_ID,0))</f>
        <v/>
      </c>
      <c r="H144" s="1778"/>
      <c r="I144" s="1657"/>
      <c r="J144" s="1691"/>
      <c r="K144" s="1696"/>
      <c r="L144" s="1778" t="s">
        <v>304</v>
      </c>
      <c r="M144" s="278"/>
      <c r="N144" s="271"/>
      <c r="O144" s="1543"/>
      <c r="P144" s="1543"/>
      <c r="AH144" s="1550">
        <v>0</v>
      </c>
    </row>
    <row r="145" spans="1:34" s="2238" customFormat="1" ht="18.75" hidden="1" customHeight="1">
      <c r="A145" s="1698"/>
      <c r="B145" s="1698"/>
      <c r="C145" s="306" t="s">
        <v>1183</v>
      </c>
      <c r="D145" s="2683"/>
      <c r="E145" s="2437"/>
      <c r="F145" s="2580"/>
      <c r="G145" s="2659"/>
      <c r="H145" s="1419"/>
      <c r="I145" s="588" t="s">
        <v>1182</v>
      </c>
      <c r="J145" s="508"/>
      <c r="K145" s="1419"/>
      <c r="L145" s="151"/>
      <c r="M145" s="278"/>
      <c r="N145" s="271"/>
      <c r="O145" s="1543"/>
      <c r="P145" s="1543"/>
      <c r="AH145" s="1550">
        <v>0</v>
      </c>
    </row>
    <row r="146" spans="1:34" s="2238" customFormat="1" ht="1.1499999999999999" customHeight="1">
      <c r="A146" s="1698"/>
      <c r="B146" s="1698"/>
      <c r="C146" s="306" t="s">
        <v>1190</v>
      </c>
      <c r="D146" s="2683"/>
      <c r="E146" s="2437"/>
      <c r="F146" s="2580"/>
      <c r="G146" s="337"/>
      <c r="H146" s="1419"/>
      <c r="I146" s="588"/>
      <c r="J146" s="508"/>
      <c r="K146" s="1419"/>
      <c r="L146" s="151"/>
      <c r="M146" s="278"/>
      <c r="N146" s="271"/>
      <c r="O146" s="1543"/>
      <c r="P146" s="1543"/>
      <c r="AH146" s="1550">
        <v>1</v>
      </c>
    </row>
    <row r="147" spans="1:34" ht="19.899999999999999" customHeight="1">
      <c r="A147" s="1698"/>
      <c r="B147" s="1698"/>
      <c r="D147" s="313"/>
      <c r="E147" s="85" t="s">
        <v>90</v>
      </c>
      <c r="F147" s="268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2682"/>
      <c r="H147" s="2682"/>
      <c r="I147" s="2682"/>
      <c r="J147" s="2682"/>
      <c r="K147" s="2682"/>
      <c r="L147" s="2682"/>
      <c r="M147" s="234"/>
      <c r="N147" s="271"/>
      <c r="AH147" s="311">
        <v>19</v>
      </c>
    </row>
    <row r="148" spans="1:34" s="2238" customFormat="1" ht="60.75" hidden="1" customHeight="1">
      <c r="A148" s="1698" t="s">
        <v>155</v>
      </c>
      <c r="B148" s="1698" t="s">
        <v>156</v>
      </c>
      <c r="C148" s="306"/>
      <c r="D148" s="2683"/>
      <c r="E148" s="2437"/>
      <c r="F148" s="258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659" t="str">
        <f>INDEX(PT_DIFFERENTIATION_NTAR,MATCH(B148,PT_DIFFERENTIATION_NTAR_ID,0))</f>
        <v/>
      </c>
      <c r="H148" s="1778"/>
      <c r="I148" s="1657"/>
      <c r="J148" s="1691"/>
      <c r="K148" s="1696"/>
      <c r="L148" s="1778" t="s">
        <v>304</v>
      </c>
      <c r="M148" s="240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43"/>
      <c r="P148" s="1543"/>
      <c r="AH148" s="1550">
        <v>0</v>
      </c>
    </row>
    <row r="149" spans="1:34" s="2238" customFormat="1" ht="18.75" hidden="1" customHeight="1">
      <c r="A149" s="1698"/>
      <c r="B149" s="1698"/>
      <c r="C149" s="306" t="s">
        <v>1183</v>
      </c>
      <c r="D149" s="2683"/>
      <c r="E149" s="2437"/>
      <c r="F149" s="2580"/>
      <c r="G149" s="2659"/>
      <c r="H149" s="1419"/>
      <c r="I149" s="588" t="s">
        <v>1182</v>
      </c>
      <c r="J149" s="508"/>
      <c r="K149" s="1419"/>
      <c r="L149" s="151"/>
      <c r="M149" s="2406"/>
      <c r="N149" s="271"/>
      <c r="O149" s="1543"/>
      <c r="P149" s="1543"/>
      <c r="AH149" s="1550">
        <v>0</v>
      </c>
    </row>
    <row r="150" spans="1:34" s="2238" customFormat="1" ht="0.75" hidden="1" customHeight="1">
      <c r="A150" s="1698"/>
      <c r="B150" s="1698"/>
      <c r="C150" s="306" t="s">
        <v>1190</v>
      </c>
      <c r="D150" s="2683"/>
      <c r="E150" s="2437"/>
      <c r="F150" s="2580"/>
      <c r="G150" s="337"/>
      <c r="H150" s="1419"/>
      <c r="I150" s="588"/>
      <c r="J150" s="508"/>
      <c r="K150" s="1419"/>
      <c r="L150" s="151"/>
      <c r="M150" s="2406"/>
      <c r="N150" s="271"/>
      <c r="O150" s="1543"/>
      <c r="P150" s="1543"/>
      <c r="AH150" s="1550">
        <v>0</v>
      </c>
    </row>
    <row r="151" spans="1:34" s="2238" customFormat="1" ht="45" hidden="1" customHeight="1">
      <c r="A151" s="1698" t="s">
        <v>160</v>
      </c>
      <c r="B151" s="1698" t="s">
        <v>161</v>
      </c>
      <c r="C151" s="306"/>
      <c r="D151" s="2683"/>
      <c r="E151" s="2437"/>
      <c r="F151" s="2580" t="str">
        <f>INDEX(PT_DIFFERENTIATION_VTAR,MATCH(A151,PT_DIFFERENTIATION_VTAR_ID,0))</f>
        <v/>
      </c>
      <c r="G151" s="2659" t="str">
        <f>INDEX(PT_DIFFERENTIATION_NTAR,MATCH(B151,PT_DIFFERENTIATION_NTAR_ID,0))</f>
        <v/>
      </c>
      <c r="H151" s="1778"/>
      <c r="I151" s="1657"/>
      <c r="J151" s="1691"/>
      <c r="K151" s="1696"/>
      <c r="L151" s="1778" t="s">
        <v>304</v>
      </c>
      <c r="M151" s="2407"/>
      <c r="N151" s="271"/>
      <c r="O151" s="1543"/>
      <c r="P151" s="1543"/>
      <c r="AH151" s="1550">
        <v>0</v>
      </c>
    </row>
    <row r="152" spans="1:34" s="2238" customFormat="1" ht="18.75" hidden="1" customHeight="1">
      <c r="A152" s="1698"/>
      <c r="B152" s="1698"/>
      <c r="C152" s="306" t="s">
        <v>1183</v>
      </c>
      <c r="D152" s="2683"/>
      <c r="E152" s="2437"/>
      <c r="F152" s="2580"/>
      <c r="G152" s="2659"/>
      <c r="H152" s="1419"/>
      <c r="I152" s="588" t="s">
        <v>1182</v>
      </c>
      <c r="J152" s="508"/>
      <c r="K152" s="1419"/>
      <c r="L152" s="151"/>
      <c r="M152" s="1777"/>
      <c r="N152" s="271"/>
      <c r="O152" s="1543"/>
      <c r="P152" s="1543"/>
      <c r="AH152" s="1550">
        <v>0</v>
      </c>
    </row>
    <row r="153" spans="1:34" s="2238" customFormat="1" ht="0.75" hidden="1" customHeight="1">
      <c r="A153" s="1698"/>
      <c r="B153" s="1698"/>
      <c r="C153" s="306" t="s">
        <v>1190</v>
      </c>
      <c r="D153" s="2683"/>
      <c r="E153" s="2437"/>
      <c r="F153" s="2580"/>
      <c r="G153" s="337"/>
      <c r="H153" s="1419"/>
      <c r="I153" s="588"/>
      <c r="J153" s="508"/>
      <c r="K153" s="1419"/>
      <c r="L153" s="151"/>
      <c r="M153" s="278"/>
      <c r="N153" s="271"/>
      <c r="O153" s="1543"/>
      <c r="P153" s="1543"/>
      <c r="AH153" s="1550">
        <v>0</v>
      </c>
    </row>
    <row r="154" spans="1:34" s="2238" customFormat="1" ht="45" hidden="1" customHeight="1">
      <c r="A154" s="1698" t="s">
        <v>167</v>
      </c>
      <c r="B154" s="1698" t="s">
        <v>168</v>
      </c>
      <c r="C154" s="306"/>
      <c r="D154" s="2683"/>
      <c r="E154" s="2437"/>
      <c r="F154" s="258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659" t="str">
        <f>INDEX(PT_DIFFERENTIATION_NTAR,MATCH(B154,PT_DIFFERENTIATION_NTAR_ID,0))</f>
        <v/>
      </c>
      <c r="H154" s="1778"/>
      <c r="I154" s="1657"/>
      <c r="J154" s="1691"/>
      <c r="K154" s="1696"/>
      <c r="L154" s="1778" t="s">
        <v>304</v>
      </c>
      <c r="M154" s="278"/>
      <c r="N154" s="271"/>
      <c r="O154" s="1543"/>
      <c r="P154" s="1543"/>
      <c r="AH154" s="1550">
        <v>0</v>
      </c>
    </row>
    <row r="155" spans="1:34" s="2238" customFormat="1" ht="18.75" hidden="1" customHeight="1">
      <c r="A155" s="1698"/>
      <c r="B155" s="1698"/>
      <c r="C155" s="306" t="s">
        <v>1183</v>
      </c>
      <c r="D155" s="2683"/>
      <c r="E155" s="2437"/>
      <c r="F155" s="2580"/>
      <c r="G155" s="2659"/>
      <c r="H155" s="1419"/>
      <c r="I155" s="588" t="s">
        <v>1182</v>
      </c>
      <c r="J155" s="508"/>
      <c r="K155" s="1419"/>
      <c r="L155" s="151"/>
      <c r="M155" s="278"/>
      <c r="N155" s="271"/>
      <c r="O155" s="1543"/>
      <c r="P155" s="1543"/>
      <c r="AH155" s="1550">
        <v>0</v>
      </c>
    </row>
    <row r="156" spans="1:34" s="2238" customFormat="1" ht="0.75" hidden="1" customHeight="1">
      <c r="A156" s="1698"/>
      <c r="B156" s="1698"/>
      <c r="C156" s="306" t="s">
        <v>1190</v>
      </c>
      <c r="D156" s="2683"/>
      <c r="E156" s="2437"/>
      <c r="F156" s="2580"/>
      <c r="G156" s="337"/>
      <c r="H156" s="1419"/>
      <c r="I156" s="588"/>
      <c r="J156" s="508"/>
      <c r="K156" s="1419"/>
      <c r="L156" s="151"/>
      <c r="M156" s="278"/>
      <c r="N156" s="271"/>
      <c r="O156" s="1543"/>
      <c r="P156" s="1543"/>
      <c r="AH156" s="1550">
        <v>0</v>
      </c>
    </row>
    <row r="157" spans="1:34" s="2238" customFormat="1" ht="45" hidden="1" customHeight="1">
      <c r="A157" s="1698" t="s">
        <v>173</v>
      </c>
      <c r="B157" s="1698" t="s">
        <v>174</v>
      </c>
      <c r="C157" s="306"/>
      <c r="D157" s="2683"/>
      <c r="E157" s="2437"/>
      <c r="F157" s="258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659" t="str">
        <f>INDEX(PT_DIFFERENTIATION_NTAR,MATCH(B157,PT_DIFFERENTIATION_NTAR_ID,0))</f>
        <v/>
      </c>
      <c r="H157" s="1778"/>
      <c r="I157" s="1657"/>
      <c r="J157" s="1691"/>
      <c r="K157" s="1696"/>
      <c r="L157" s="1778" t="s">
        <v>304</v>
      </c>
      <c r="M157" s="278"/>
      <c r="N157" s="271"/>
      <c r="O157" s="1543"/>
      <c r="P157" s="1543"/>
      <c r="AH157" s="1550">
        <v>0</v>
      </c>
    </row>
    <row r="158" spans="1:34" s="2238" customFormat="1" ht="18.75" hidden="1" customHeight="1">
      <c r="A158" s="1698"/>
      <c r="B158" s="1698"/>
      <c r="C158" s="306" t="s">
        <v>1183</v>
      </c>
      <c r="D158" s="2683"/>
      <c r="E158" s="2437"/>
      <c r="F158" s="2580"/>
      <c r="G158" s="2659"/>
      <c r="H158" s="1419"/>
      <c r="I158" s="588" t="s">
        <v>1182</v>
      </c>
      <c r="J158" s="508"/>
      <c r="K158" s="1419"/>
      <c r="L158" s="151"/>
      <c r="M158" s="278"/>
      <c r="N158" s="271"/>
      <c r="O158" s="1543"/>
      <c r="P158" s="1543"/>
      <c r="AH158" s="1550">
        <v>0</v>
      </c>
    </row>
    <row r="159" spans="1:34" s="2238" customFormat="1" ht="0.75" hidden="1" customHeight="1">
      <c r="A159" s="1698"/>
      <c r="B159" s="1698"/>
      <c r="C159" s="306" t="s">
        <v>1190</v>
      </c>
      <c r="D159" s="2683"/>
      <c r="E159" s="2437"/>
      <c r="F159" s="2580"/>
      <c r="G159" s="337"/>
      <c r="H159" s="1419"/>
      <c r="I159" s="588"/>
      <c r="J159" s="508"/>
      <c r="K159" s="1419"/>
      <c r="L159" s="151"/>
      <c r="M159" s="278"/>
      <c r="N159" s="271"/>
      <c r="O159" s="1543"/>
      <c r="P159" s="1543"/>
      <c r="AH159" s="1550">
        <v>0</v>
      </c>
    </row>
    <row r="160" spans="1:34" s="2238" customFormat="1" ht="18.75" hidden="1" customHeight="1">
      <c r="A160" s="1698" t="s">
        <v>179</v>
      </c>
      <c r="B160" s="1698" t="s">
        <v>180</v>
      </c>
      <c r="C160" s="306"/>
      <c r="D160" s="2683"/>
      <c r="E160" s="2437"/>
      <c r="F160" s="2580" t="str">
        <f>INDEX(PT_DIFFERENTIATION_VTAR,MATCH(A160,PT_DIFFERENTIATION_VTAR_ID,0))</f>
        <v>Тарифы на услуги по передаче тепловой энергии</v>
      </c>
      <c r="G160" s="2659" t="str">
        <f>INDEX(PT_DIFFERENTIATION_NTAR,MATCH(B160,PT_DIFFERENTIATION_NTAR_ID,0))</f>
        <v/>
      </c>
      <c r="H160" s="1778"/>
      <c r="I160" s="1657"/>
      <c r="J160" s="1691"/>
      <c r="K160" s="1696"/>
      <c r="L160" s="1778" t="s">
        <v>304</v>
      </c>
      <c r="M160" s="278"/>
      <c r="N160" s="271"/>
      <c r="O160" s="1543"/>
      <c r="P160" s="1543"/>
      <c r="AH160" s="1550">
        <v>0</v>
      </c>
    </row>
    <row r="161" spans="1:34" s="2238" customFormat="1" ht="18.75" hidden="1" customHeight="1">
      <c r="A161" s="1698"/>
      <c r="B161" s="1698"/>
      <c r="C161" s="306" t="s">
        <v>1183</v>
      </c>
      <c r="D161" s="2683"/>
      <c r="E161" s="2437"/>
      <c r="F161" s="2580"/>
      <c r="G161" s="2659"/>
      <c r="H161" s="1419"/>
      <c r="I161" s="588" t="s">
        <v>1182</v>
      </c>
      <c r="J161" s="508"/>
      <c r="K161" s="1419"/>
      <c r="L161" s="151"/>
      <c r="M161" s="278"/>
      <c r="N161" s="271"/>
      <c r="O161" s="1543"/>
      <c r="P161" s="1543"/>
      <c r="AH161" s="1550">
        <v>0</v>
      </c>
    </row>
    <row r="162" spans="1:34" s="2238" customFormat="1" ht="0.75" hidden="1" customHeight="1">
      <c r="A162" s="1698"/>
      <c r="B162" s="1698"/>
      <c r="C162" s="306" t="s">
        <v>1190</v>
      </c>
      <c r="D162" s="2683"/>
      <c r="E162" s="2437"/>
      <c r="F162" s="2580"/>
      <c r="G162" s="337"/>
      <c r="H162" s="1419"/>
      <c r="I162" s="588"/>
      <c r="J162" s="508"/>
      <c r="K162" s="1419"/>
      <c r="L162" s="151"/>
      <c r="M162" s="278"/>
      <c r="N162" s="271"/>
      <c r="O162" s="1543"/>
      <c r="P162" s="1543"/>
      <c r="AH162" s="1550">
        <v>0</v>
      </c>
    </row>
    <row r="163" spans="1:34" s="2238" customFormat="1" ht="18.75" hidden="1" customHeight="1">
      <c r="A163" s="1698" t="s">
        <v>185</v>
      </c>
      <c r="B163" s="1698" t="s">
        <v>186</v>
      </c>
      <c r="C163" s="306"/>
      <c r="D163" s="2683"/>
      <c r="E163" s="2437"/>
      <c r="F163" s="2580" t="str">
        <f>INDEX(PT_DIFFERENTIATION_VTAR,MATCH(A163,PT_DIFFERENTIATION_VTAR_ID,0))</f>
        <v>Тарифы на услуги по передаче теплоносителя</v>
      </c>
      <c r="G163" s="2659" t="str">
        <f>INDEX(PT_DIFFERENTIATION_NTAR,MATCH(B163,PT_DIFFERENTIATION_NTAR_ID,0))</f>
        <v/>
      </c>
      <c r="H163" s="1778"/>
      <c r="I163" s="1657"/>
      <c r="J163" s="1691"/>
      <c r="K163" s="1696"/>
      <c r="L163" s="1778" t="s">
        <v>304</v>
      </c>
      <c r="M163" s="278"/>
      <c r="N163" s="271"/>
      <c r="O163" s="1543"/>
      <c r="P163" s="1543"/>
      <c r="AH163" s="1550">
        <v>0</v>
      </c>
    </row>
    <row r="164" spans="1:34" s="2238" customFormat="1" ht="18.75" hidden="1" customHeight="1">
      <c r="A164" s="1698"/>
      <c r="B164" s="1698"/>
      <c r="C164" s="306" t="s">
        <v>1183</v>
      </c>
      <c r="D164" s="2683"/>
      <c r="E164" s="2437"/>
      <c r="F164" s="2580"/>
      <c r="G164" s="2659"/>
      <c r="H164" s="1419"/>
      <c r="I164" s="588" t="s">
        <v>1182</v>
      </c>
      <c r="J164" s="508"/>
      <c r="K164" s="1419"/>
      <c r="L164" s="151"/>
      <c r="M164" s="278"/>
      <c r="N164" s="271"/>
      <c r="O164" s="1543"/>
      <c r="P164" s="1543"/>
      <c r="AH164" s="1550">
        <v>0</v>
      </c>
    </row>
    <row r="165" spans="1:34" s="2238" customFormat="1" ht="0.75" hidden="1" customHeight="1">
      <c r="A165" s="1698"/>
      <c r="B165" s="1698"/>
      <c r="C165" s="306" t="s">
        <v>1190</v>
      </c>
      <c r="D165" s="2683"/>
      <c r="E165" s="2437"/>
      <c r="F165" s="2580"/>
      <c r="G165" s="337"/>
      <c r="H165" s="1419"/>
      <c r="I165" s="588"/>
      <c r="J165" s="508"/>
      <c r="K165" s="1419"/>
      <c r="L165" s="151"/>
      <c r="M165" s="278"/>
      <c r="N165" s="271"/>
      <c r="O165" s="1543"/>
      <c r="P165" s="1543"/>
      <c r="AH165" s="1550">
        <v>0</v>
      </c>
    </row>
    <row r="166" spans="1:34" s="2238" customFormat="1" ht="18.75" hidden="1" customHeight="1">
      <c r="A166" s="1698" t="s">
        <v>191</v>
      </c>
      <c r="B166" s="1698" t="s">
        <v>192</v>
      </c>
      <c r="C166" s="306"/>
      <c r="D166" s="2683"/>
      <c r="E166" s="2437"/>
      <c r="F166" s="258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659" t="str">
        <f>INDEX(PT_DIFFERENTIATION_NTAR,MATCH(B166,PT_DIFFERENTIATION_NTAR_ID,0))</f>
        <v/>
      </c>
      <c r="H166" s="1778"/>
      <c r="I166" s="1657"/>
      <c r="J166" s="1691"/>
      <c r="K166" s="1696"/>
      <c r="L166" s="1778" t="s">
        <v>304</v>
      </c>
      <c r="M166" s="278"/>
      <c r="N166" s="271"/>
      <c r="O166" s="1543"/>
      <c r="P166" s="1543"/>
      <c r="AH166" s="1550">
        <v>0</v>
      </c>
    </row>
    <row r="167" spans="1:34" s="2238" customFormat="1" ht="18.75" hidden="1" customHeight="1">
      <c r="A167" s="1698"/>
      <c r="B167" s="1698"/>
      <c r="C167" s="306" t="s">
        <v>1183</v>
      </c>
      <c r="D167" s="2683"/>
      <c r="E167" s="2437"/>
      <c r="F167" s="2580"/>
      <c r="G167" s="2659"/>
      <c r="H167" s="1419"/>
      <c r="I167" s="588" t="s">
        <v>1182</v>
      </c>
      <c r="J167" s="508"/>
      <c r="K167" s="1419"/>
      <c r="L167" s="151"/>
      <c r="M167" s="278"/>
      <c r="N167" s="271"/>
      <c r="O167" s="1543"/>
      <c r="P167" s="1543"/>
      <c r="AH167" s="1550">
        <v>0</v>
      </c>
    </row>
    <row r="168" spans="1:34" s="2238" customFormat="1" ht="0.75" hidden="1" customHeight="1">
      <c r="A168" s="1698"/>
      <c r="B168" s="1698"/>
      <c r="C168" s="306" t="s">
        <v>1190</v>
      </c>
      <c r="D168" s="2683"/>
      <c r="E168" s="2437"/>
      <c r="F168" s="2580"/>
      <c r="G168" s="337"/>
      <c r="H168" s="1419"/>
      <c r="I168" s="588"/>
      <c r="J168" s="508"/>
      <c r="K168" s="1419"/>
      <c r="L168" s="151"/>
      <c r="M168" s="278"/>
      <c r="N168" s="271"/>
      <c r="O168" s="1543"/>
      <c r="P168" s="1543"/>
      <c r="AH168" s="1550">
        <v>0</v>
      </c>
    </row>
    <row r="169" spans="1:34" s="2238" customFormat="1" ht="18.75" hidden="1" customHeight="1">
      <c r="A169" s="1698" t="s">
        <v>197</v>
      </c>
      <c r="B169" s="1698" t="s">
        <v>198</v>
      </c>
      <c r="C169" s="306"/>
      <c r="D169" s="2683"/>
      <c r="E169" s="2437"/>
      <c r="F169" s="2580" t="str">
        <f>INDEX(PT_DIFFERENTIATION_VTAR,MATCH(A169,PT_DIFFERENTIATION_VTAR_ID,0))</f>
        <v>Плата за подключение (технологическое присоединение) к системе теплоснабжения</v>
      </c>
      <c r="G169" s="2659" t="str">
        <f>INDEX(PT_DIFFERENTIATION_NTAR,MATCH(B169,PT_DIFFERENTIATION_NTAR_ID,0))</f>
        <v/>
      </c>
      <c r="H169" s="1778"/>
      <c r="I169" s="1657"/>
      <c r="J169" s="1691"/>
      <c r="K169" s="1696"/>
      <c r="L169" s="1778" t="s">
        <v>304</v>
      </c>
      <c r="M169" s="278"/>
      <c r="N169" s="271"/>
      <c r="O169" s="1543"/>
      <c r="P169" s="1543"/>
      <c r="AH169" s="1550">
        <v>0</v>
      </c>
    </row>
    <row r="170" spans="1:34" s="2238" customFormat="1" ht="18.75" hidden="1" customHeight="1">
      <c r="A170" s="1698"/>
      <c r="B170" s="1698"/>
      <c r="C170" s="306" t="s">
        <v>1183</v>
      </c>
      <c r="D170" s="2683"/>
      <c r="E170" s="2437"/>
      <c r="F170" s="2580"/>
      <c r="G170" s="2659"/>
      <c r="H170" s="1419"/>
      <c r="I170" s="588" t="s">
        <v>1182</v>
      </c>
      <c r="J170" s="508"/>
      <c r="K170" s="1419"/>
      <c r="L170" s="151"/>
      <c r="M170" s="278"/>
      <c r="N170" s="271"/>
      <c r="O170" s="1543"/>
      <c r="P170" s="1543"/>
      <c r="AH170" s="1550">
        <v>0</v>
      </c>
    </row>
    <row r="171" spans="1:34" s="2238" customFormat="1" ht="0.75" hidden="1" customHeight="1">
      <c r="A171" s="1698"/>
      <c r="B171" s="1698"/>
      <c r="C171" s="306" t="s">
        <v>1190</v>
      </c>
      <c r="D171" s="2683"/>
      <c r="E171" s="2437"/>
      <c r="F171" s="2580"/>
      <c r="G171" s="337"/>
      <c r="H171" s="1419"/>
      <c r="I171" s="588"/>
      <c r="J171" s="508"/>
      <c r="K171" s="1419"/>
      <c r="L171" s="151"/>
      <c r="M171" s="278"/>
      <c r="N171" s="271"/>
      <c r="O171" s="1543"/>
      <c r="P171" s="1543"/>
      <c r="AH171" s="1550">
        <v>0</v>
      </c>
    </row>
    <row r="172" spans="1:34" s="2238" customFormat="1" ht="18.75" hidden="1" customHeight="1">
      <c r="A172" s="1698" t="s">
        <v>203</v>
      </c>
      <c r="B172" s="1698" t="s">
        <v>204</v>
      </c>
      <c r="C172" s="306"/>
      <c r="D172" s="2683"/>
      <c r="E172" s="2437"/>
      <c r="F172" s="2580" t="str">
        <f>INDEX(PT_DIFFERENTIATION_VTAR,MATCH(A172,PT_DIFFERENTIATION_VTAR_ID,0))</f>
        <v>Плата за подключение (технологическое присоединение) к системе теплоснабжения (индивидуальная)</v>
      </c>
      <c r="G172" s="2659" t="str">
        <f>INDEX(PT_DIFFERENTIATION_NTAR,MATCH(B172,PT_DIFFERENTIATION_NTAR_ID,0))</f>
        <v/>
      </c>
      <c r="H172" s="1902"/>
      <c r="I172" s="1657"/>
      <c r="J172" s="1691"/>
      <c r="K172" s="1696"/>
      <c r="L172" s="1902" t="s">
        <v>304</v>
      </c>
      <c r="M172" s="278"/>
      <c r="N172" s="271"/>
      <c r="O172" s="1543"/>
      <c r="P172" s="1543"/>
      <c r="AH172" s="1550">
        <v>0</v>
      </c>
    </row>
    <row r="173" spans="1:34" s="2238" customFormat="1" ht="18.75" hidden="1" customHeight="1">
      <c r="A173" s="1698"/>
      <c r="B173" s="1698"/>
      <c r="C173" s="306" t="s">
        <v>1183</v>
      </c>
      <c r="D173" s="2683"/>
      <c r="E173" s="2437"/>
      <c r="F173" s="2580"/>
      <c r="G173" s="2659"/>
      <c r="H173" s="1419"/>
      <c r="I173" s="588" t="s">
        <v>1182</v>
      </c>
      <c r="J173" s="508"/>
      <c r="K173" s="1419"/>
      <c r="L173" s="151"/>
      <c r="M173" s="278"/>
      <c r="N173" s="271"/>
      <c r="O173" s="1543"/>
      <c r="P173" s="1543"/>
      <c r="AH173" s="1550">
        <v>0</v>
      </c>
    </row>
    <row r="174" spans="1:34" s="2238" customFormat="1" ht="0.75" hidden="1" customHeight="1">
      <c r="A174" s="1698"/>
      <c r="B174" s="1698"/>
      <c r="C174" s="306" t="s">
        <v>1190</v>
      </c>
      <c r="D174" s="2683"/>
      <c r="E174" s="2437"/>
      <c r="F174" s="2580"/>
      <c r="G174" s="337"/>
      <c r="H174" s="1419"/>
      <c r="I174" s="588"/>
      <c r="J174" s="508"/>
      <c r="K174" s="1419"/>
      <c r="L174" s="151"/>
      <c r="M174" s="278"/>
      <c r="N174" s="271"/>
      <c r="O174" s="1543"/>
      <c r="P174" s="1543"/>
      <c r="AH174" s="1550">
        <v>0</v>
      </c>
    </row>
    <row r="175" spans="1:34" s="2238" customFormat="1" ht="18.75" hidden="1" customHeight="1">
      <c r="A175" s="1698" t="s">
        <v>223</v>
      </c>
      <c r="B175" s="1698" t="s">
        <v>224</v>
      </c>
      <c r="C175" s="306"/>
      <c r="D175" s="2683"/>
      <c r="E175" s="2437"/>
      <c r="F175" s="2580" t="str">
        <f>INDEX(PT_DIFFERENTIATION_VTAR,MATCH(A175,PT_DIFFERENTIATION_VTAR_ID,0))</f>
        <v>Тариф на питьевую воду (питьевое водоснабжение)</v>
      </c>
      <c r="G175" s="2659" t="str">
        <f>INDEX(PT_DIFFERENTIATION_NTAR,MATCH(B175,PT_DIFFERENTIATION_NTAR_ID,0))</f>
        <v/>
      </c>
      <c r="H175" s="1778"/>
      <c r="I175" s="1657"/>
      <c r="J175" s="1691"/>
      <c r="K175" s="1696"/>
      <c r="L175" s="1778" t="s">
        <v>304</v>
      </c>
      <c r="M175" s="278"/>
      <c r="N175" s="271"/>
      <c r="O175" s="1543"/>
      <c r="P175" s="1543"/>
      <c r="AH175" s="1550">
        <v>0</v>
      </c>
    </row>
    <row r="176" spans="1:34" s="2238" customFormat="1" ht="18.75" hidden="1" customHeight="1">
      <c r="A176" s="1698"/>
      <c r="B176" s="1698"/>
      <c r="C176" s="306" t="s">
        <v>1183</v>
      </c>
      <c r="D176" s="2683"/>
      <c r="E176" s="2437"/>
      <c r="F176" s="2580"/>
      <c r="G176" s="2659"/>
      <c r="H176" s="1419"/>
      <c r="I176" s="588" t="s">
        <v>1182</v>
      </c>
      <c r="J176" s="508"/>
      <c r="K176" s="1419"/>
      <c r="L176" s="151"/>
      <c r="M176" s="278"/>
      <c r="N176" s="271"/>
      <c r="O176" s="1543"/>
      <c r="P176" s="1543"/>
      <c r="AH176" s="1550">
        <v>0</v>
      </c>
    </row>
    <row r="177" spans="1:34" s="2238" customFormat="1" ht="0.75" hidden="1" customHeight="1">
      <c r="A177" s="1698"/>
      <c r="B177" s="1698"/>
      <c r="C177" s="306" t="s">
        <v>1190</v>
      </c>
      <c r="D177" s="2683"/>
      <c r="E177" s="2437"/>
      <c r="F177" s="2580"/>
      <c r="G177" s="337"/>
      <c r="H177" s="1419"/>
      <c r="I177" s="588"/>
      <c r="J177" s="508"/>
      <c r="K177" s="1419"/>
      <c r="L177" s="151"/>
      <c r="M177" s="278"/>
      <c r="N177" s="271"/>
      <c r="O177" s="1543"/>
      <c r="P177" s="1543"/>
      <c r="AH177" s="1550">
        <v>0</v>
      </c>
    </row>
    <row r="178" spans="1:34" s="2238" customFormat="1" ht="18.75" hidden="1" customHeight="1">
      <c r="A178" s="1698" t="s">
        <v>228</v>
      </c>
      <c r="B178" s="1698" t="s">
        <v>229</v>
      </c>
      <c r="C178" s="306"/>
      <c r="D178" s="2683"/>
      <c r="E178" s="2437"/>
      <c r="F178" s="2580" t="str">
        <f>INDEX(PT_DIFFERENTIATION_VTAR,MATCH(A178,PT_DIFFERENTIATION_VTAR_ID,0))</f>
        <v>Тариф на техническую воду</v>
      </c>
      <c r="G178" s="2659" t="str">
        <f>INDEX(PT_DIFFERENTIATION_NTAR,MATCH(B178,PT_DIFFERENTIATION_NTAR_ID,0))</f>
        <v/>
      </c>
      <c r="H178" s="1778"/>
      <c r="I178" s="1657"/>
      <c r="J178" s="1691"/>
      <c r="K178" s="1696"/>
      <c r="L178" s="1778" t="s">
        <v>304</v>
      </c>
      <c r="M178" s="278"/>
      <c r="N178" s="271"/>
      <c r="O178" s="1543"/>
      <c r="P178" s="1543"/>
      <c r="AH178" s="1550">
        <v>0</v>
      </c>
    </row>
    <row r="179" spans="1:34" s="2238" customFormat="1" ht="18.75" hidden="1" customHeight="1">
      <c r="A179" s="1698"/>
      <c r="B179" s="1698"/>
      <c r="C179" s="306" t="s">
        <v>1183</v>
      </c>
      <c r="D179" s="2683"/>
      <c r="E179" s="2437"/>
      <c r="F179" s="2580"/>
      <c r="G179" s="2659"/>
      <c r="H179" s="1419"/>
      <c r="I179" s="588" t="s">
        <v>1182</v>
      </c>
      <c r="J179" s="508"/>
      <c r="K179" s="1419"/>
      <c r="L179" s="151"/>
      <c r="M179" s="278"/>
      <c r="N179" s="271"/>
      <c r="O179" s="1543"/>
      <c r="P179" s="1543"/>
      <c r="AH179" s="1550">
        <v>0</v>
      </c>
    </row>
    <row r="180" spans="1:34" s="2238" customFormat="1" ht="0.75" hidden="1" customHeight="1">
      <c r="A180" s="1698"/>
      <c r="B180" s="1698"/>
      <c r="C180" s="306" t="s">
        <v>1190</v>
      </c>
      <c r="D180" s="2683"/>
      <c r="E180" s="2437"/>
      <c r="F180" s="2580"/>
      <c r="G180" s="337"/>
      <c r="H180" s="1419"/>
      <c r="I180" s="588"/>
      <c r="J180" s="508"/>
      <c r="K180" s="1419"/>
      <c r="L180" s="151"/>
      <c r="M180" s="278"/>
      <c r="N180" s="271"/>
      <c r="O180" s="1543"/>
      <c r="P180" s="1543"/>
      <c r="AH180" s="1550">
        <v>0</v>
      </c>
    </row>
    <row r="181" spans="1:34" s="2238" customFormat="1" ht="18.75" hidden="1" customHeight="1">
      <c r="A181" s="1698" t="s">
        <v>233</v>
      </c>
      <c r="B181" s="1698" t="s">
        <v>234</v>
      </c>
      <c r="C181" s="306"/>
      <c r="D181" s="2683"/>
      <c r="E181" s="2437"/>
      <c r="F181" s="2580" t="str">
        <f>INDEX(PT_DIFFERENTIATION_VTAR,MATCH(A181,PT_DIFFERENTIATION_VTAR_ID,0))</f>
        <v>Тариф на транспортировку воды</v>
      </c>
      <c r="G181" s="2659" t="str">
        <f>INDEX(PT_DIFFERENTIATION_NTAR,MATCH(B181,PT_DIFFERENTIATION_NTAR_ID,0))</f>
        <v/>
      </c>
      <c r="H181" s="1778"/>
      <c r="I181" s="1657"/>
      <c r="J181" s="1691"/>
      <c r="K181" s="1696"/>
      <c r="L181" s="1778" t="s">
        <v>304</v>
      </c>
      <c r="M181" s="278"/>
      <c r="N181" s="271"/>
      <c r="O181" s="1543"/>
      <c r="P181" s="1543"/>
      <c r="AH181" s="1550">
        <v>0</v>
      </c>
    </row>
    <row r="182" spans="1:34" s="2238" customFormat="1" ht="18.75" hidden="1" customHeight="1">
      <c r="A182" s="1698"/>
      <c r="B182" s="1698"/>
      <c r="C182" s="306" t="s">
        <v>1183</v>
      </c>
      <c r="D182" s="2683"/>
      <c r="E182" s="2437"/>
      <c r="F182" s="2580"/>
      <c r="G182" s="2659"/>
      <c r="H182" s="1419"/>
      <c r="I182" s="588" t="s">
        <v>1182</v>
      </c>
      <c r="J182" s="508"/>
      <c r="K182" s="1419"/>
      <c r="L182" s="151"/>
      <c r="M182" s="278"/>
      <c r="N182" s="271"/>
      <c r="O182" s="1543"/>
      <c r="P182" s="1543"/>
      <c r="AH182" s="1550">
        <v>0</v>
      </c>
    </row>
    <row r="183" spans="1:34" s="2238" customFormat="1" ht="0.75" hidden="1" customHeight="1">
      <c r="A183" s="1698"/>
      <c r="B183" s="1698"/>
      <c r="C183" s="306" t="s">
        <v>1190</v>
      </c>
      <c r="D183" s="2683"/>
      <c r="E183" s="2437"/>
      <c r="F183" s="2580"/>
      <c r="G183" s="337"/>
      <c r="H183" s="1419"/>
      <c r="I183" s="588"/>
      <c r="J183" s="508"/>
      <c r="K183" s="1419"/>
      <c r="L183" s="151"/>
      <c r="M183" s="278"/>
      <c r="N183" s="271"/>
      <c r="O183" s="1543"/>
      <c r="P183" s="1543"/>
      <c r="AH183" s="1550">
        <v>0</v>
      </c>
    </row>
    <row r="184" spans="1:34" s="2238" customFormat="1" ht="18.75" hidden="1" customHeight="1">
      <c r="A184" s="1698" t="s">
        <v>238</v>
      </c>
      <c r="B184" s="1698" t="s">
        <v>239</v>
      </c>
      <c r="C184" s="306"/>
      <c r="D184" s="2683"/>
      <c r="E184" s="2437"/>
      <c r="F184" s="2580" t="str">
        <f>INDEX(PT_DIFFERENTIATION_VTAR,MATCH(A184,PT_DIFFERENTIATION_VTAR_ID,0))</f>
        <v>Тариф на подвоз воды</v>
      </c>
      <c r="G184" s="2659" t="str">
        <f>INDEX(PT_DIFFERENTIATION_NTAR,MATCH(B184,PT_DIFFERENTIATION_NTAR_ID,0))</f>
        <v/>
      </c>
      <c r="H184" s="1778"/>
      <c r="I184" s="1657"/>
      <c r="J184" s="1691"/>
      <c r="K184" s="1696"/>
      <c r="L184" s="1778" t="s">
        <v>304</v>
      </c>
      <c r="M184" s="278"/>
      <c r="N184" s="271"/>
      <c r="O184" s="1543"/>
      <c r="P184" s="1543"/>
      <c r="AH184" s="1550">
        <v>0</v>
      </c>
    </row>
    <row r="185" spans="1:34" s="2238" customFormat="1" ht="18.75" hidden="1" customHeight="1">
      <c r="A185" s="1698"/>
      <c r="B185" s="1698"/>
      <c r="C185" s="306" t="s">
        <v>1183</v>
      </c>
      <c r="D185" s="2683"/>
      <c r="E185" s="2437"/>
      <c r="F185" s="2580"/>
      <c r="G185" s="2659"/>
      <c r="H185" s="1419"/>
      <c r="I185" s="588" t="s">
        <v>1182</v>
      </c>
      <c r="J185" s="508"/>
      <c r="K185" s="1419"/>
      <c r="L185" s="151"/>
      <c r="M185" s="278"/>
      <c r="N185" s="271"/>
      <c r="O185" s="1543"/>
      <c r="P185" s="1543"/>
      <c r="AH185" s="1550">
        <v>0</v>
      </c>
    </row>
    <row r="186" spans="1:34" s="2238" customFormat="1" ht="0.75" hidden="1" customHeight="1">
      <c r="A186" s="1698"/>
      <c r="B186" s="1698"/>
      <c r="C186" s="306" t="s">
        <v>1190</v>
      </c>
      <c r="D186" s="2683"/>
      <c r="E186" s="2437"/>
      <c r="F186" s="2580"/>
      <c r="G186" s="337"/>
      <c r="H186" s="1419"/>
      <c r="I186" s="588"/>
      <c r="J186" s="508"/>
      <c r="K186" s="1419"/>
      <c r="L186" s="151"/>
      <c r="M186" s="278"/>
      <c r="N186" s="271"/>
      <c r="O186" s="1543"/>
      <c r="P186" s="1543"/>
      <c r="AH186" s="1550">
        <v>0</v>
      </c>
    </row>
    <row r="187" spans="1:34" s="2238" customFormat="1" ht="18.75" hidden="1" customHeight="1">
      <c r="A187" s="1698" t="s">
        <v>243</v>
      </c>
      <c r="B187" s="1698" t="s">
        <v>244</v>
      </c>
      <c r="C187" s="306"/>
      <c r="D187" s="2683"/>
      <c r="E187" s="2437"/>
      <c r="F187" s="258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659" t="str">
        <f>INDEX(PT_DIFFERENTIATION_NTAR,MATCH(B187,PT_DIFFERENTIATION_NTAR_ID,0))</f>
        <v/>
      </c>
      <c r="H187" s="1778"/>
      <c r="I187" s="1657"/>
      <c r="J187" s="1691"/>
      <c r="K187" s="1696"/>
      <c r="L187" s="1778" t="s">
        <v>304</v>
      </c>
      <c r="M187" s="278"/>
      <c r="N187" s="271"/>
      <c r="O187" s="1543"/>
      <c r="P187" s="1543"/>
      <c r="AH187" s="1550">
        <v>0</v>
      </c>
    </row>
    <row r="188" spans="1:34" s="2238" customFormat="1" ht="18.75" hidden="1" customHeight="1">
      <c r="A188" s="1698"/>
      <c r="B188" s="1698"/>
      <c r="C188" s="306" t="s">
        <v>1183</v>
      </c>
      <c r="D188" s="2683"/>
      <c r="E188" s="2437"/>
      <c r="F188" s="2580"/>
      <c r="G188" s="2659"/>
      <c r="H188" s="1419"/>
      <c r="I188" s="588" t="s">
        <v>1182</v>
      </c>
      <c r="J188" s="508"/>
      <c r="K188" s="1419"/>
      <c r="L188" s="151"/>
      <c r="M188" s="278"/>
      <c r="N188" s="271"/>
      <c r="O188" s="1543"/>
      <c r="P188" s="1543"/>
      <c r="AH188" s="1550">
        <v>0</v>
      </c>
    </row>
    <row r="189" spans="1:34" s="2238" customFormat="1" ht="0.75" hidden="1" customHeight="1">
      <c r="A189" s="1698"/>
      <c r="B189" s="1698"/>
      <c r="C189" s="306" t="s">
        <v>1190</v>
      </c>
      <c r="D189" s="2683"/>
      <c r="E189" s="2437"/>
      <c r="F189" s="2580"/>
      <c r="G189" s="337"/>
      <c r="H189" s="1419"/>
      <c r="I189" s="588"/>
      <c r="J189" s="508"/>
      <c r="K189" s="1419"/>
      <c r="L189" s="151"/>
      <c r="M189" s="278"/>
      <c r="N189" s="271"/>
      <c r="O189" s="1543"/>
      <c r="P189" s="1543"/>
      <c r="AH189" s="1550">
        <v>0</v>
      </c>
    </row>
    <row r="190" spans="1:34" s="2238" customFormat="1" ht="18.75" hidden="1" customHeight="1">
      <c r="A190" s="1698" t="s">
        <v>248</v>
      </c>
      <c r="B190" s="1698" t="s">
        <v>249</v>
      </c>
      <c r="C190" s="306"/>
      <c r="D190" s="2683"/>
      <c r="E190" s="2437"/>
      <c r="F190" s="2580" t="str">
        <f>INDEX(PT_DIFFERENTIATION_VTAR,MATCH(A190,PT_DIFFERENTIATION_VTAR_ID,0))</f>
        <v>Тариф на горячую воду (горячее водоснабжение)</v>
      </c>
      <c r="G190" s="2659" t="str">
        <f>INDEX(PT_DIFFERENTIATION_NTAR,MATCH(B190,PT_DIFFERENTIATION_NTAR_ID,0))</f>
        <v/>
      </c>
      <c r="H190" s="1778"/>
      <c r="I190" s="1657"/>
      <c r="J190" s="1691"/>
      <c r="K190" s="1696"/>
      <c r="L190" s="1778" t="s">
        <v>304</v>
      </c>
      <c r="M190" s="278"/>
      <c r="N190" s="271"/>
      <c r="O190" s="1543"/>
      <c r="P190" s="1543"/>
      <c r="AH190" s="1550">
        <v>0</v>
      </c>
    </row>
    <row r="191" spans="1:34" s="2238" customFormat="1" ht="18.75" hidden="1" customHeight="1">
      <c r="A191" s="1698"/>
      <c r="B191" s="1698"/>
      <c r="C191" s="306" t="s">
        <v>1183</v>
      </c>
      <c r="D191" s="2683"/>
      <c r="E191" s="2437"/>
      <c r="F191" s="2580"/>
      <c r="G191" s="2659"/>
      <c r="H191" s="1419"/>
      <c r="I191" s="588" t="s">
        <v>1182</v>
      </c>
      <c r="J191" s="508"/>
      <c r="K191" s="1419"/>
      <c r="L191" s="151"/>
      <c r="M191" s="278"/>
      <c r="N191" s="271"/>
      <c r="O191" s="1543"/>
      <c r="P191" s="1543"/>
      <c r="AH191" s="1550">
        <v>0</v>
      </c>
    </row>
    <row r="192" spans="1:34" s="2238" customFormat="1" ht="0.75" hidden="1" customHeight="1">
      <c r="A192" s="1698"/>
      <c r="B192" s="1698"/>
      <c r="C192" s="306" t="s">
        <v>1190</v>
      </c>
      <c r="D192" s="2683"/>
      <c r="E192" s="2437"/>
      <c r="F192" s="2580"/>
      <c r="G192" s="337"/>
      <c r="H192" s="1419"/>
      <c r="I192" s="588"/>
      <c r="J192" s="508"/>
      <c r="K192" s="1419"/>
      <c r="L192" s="151"/>
      <c r="M192" s="278"/>
      <c r="N192" s="271"/>
      <c r="O192" s="1543"/>
      <c r="P192" s="1543"/>
      <c r="AH192" s="1550">
        <v>0</v>
      </c>
    </row>
    <row r="193" spans="1:34" s="2238" customFormat="1" ht="18.75" hidden="1" customHeight="1">
      <c r="A193" s="1698" t="s">
        <v>253</v>
      </c>
      <c r="B193" s="1698" t="s">
        <v>254</v>
      </c>
      <c r="C193" s="306"/>
      <c r="D193" s="2683"/>
      <c r="E193" s="2437"/>
      <c r="F193" s="2580" t="str">
        <f>INDEX(PT_DIFFERENTIATION_VTAR,MATCH(A193,PT_DIFFERENTIATION_VTAR_ID,0))</f>
        <v>Тариф на транспортировку горячей воды</v>
      </c>
      <c r="G193" s="2659" t="str">
        <f>INDEX(PT_DIFFERENTIATION_NTAR,MATCH(B193,PT_DIFFERENTIATION_NTAR_ID,0))</f>
        <v/>
      </c>
      <c r="H193" s="1778"/>
      <c r="I193" s="1657"/>
      <c r="J193" s="1691"/>
      <c r="K193" s="1696"/>
      <c r="L193" s="1778" t="s">
        <v>304</v>
      </c>
      <c r="M193" s="278"/>
      <c r="N193" s="271"/>
      <c r="O193" s="1543"/>
      <c r="P193" s="1543"/>
      <c r="AH193" s="1550">
        <v>0</v>
      </c>
    </row>
    <row r="194" spans="1:34" s="2238" customFormat="1" ht="18.75" hidden="1" customHeight="1">
      <c r="A194" s="1698"/>
      <c r="B194" s="1698"/>
      <c r="C194" s="306" t="s">
        <v>1183</v>
      </c>
      <c r="D194" s="2683"/>
      <c r="E194" s="2437"/>
      <c r="F194" s="2580"/>
      <c r="G194" s="2659"/>
      <c r="H194" s="1419"/>
      <c r="I194" s="588" t="s">
        <v>1182</v>
      </c>
      <c r="J194" s="508"/>
      <c r="K194" s="1419"/>
      <c r="L194" s="151"/>
      <c r="M194" s="278"/>
      <c r="N194" s="271"/>
      <c r="O194" s="1543"/>
      <c r="P194" s="1543"/>
      <c r="AH194" s="1550">
        <v>0</v>
      </c>
    </row>
    <row r="195" spans="1:34" s="2238" customFormat="1" ht="0.75" hidden="1" customHeight="1">
      <c r="A195" s="1698"/>
      <c r="B195" s="1698"/>
      <c r="C195" s="306" t="s">
        <v>1190</v>
      </c>
      <c r="D195" s="2683"/>
      <c r="E195" s="2437"/>
      <c r="F195" s="2580"/>
      <c r="G195" s="337"/>
      <c r="H195" s="1419"/>
      <c r="I195" s="588"/>
      <c r="J195" s="508"/>
      <c r="K195" s="1419"/>
      <c r="L195" s="151"/>
      <c r="M195" s="278"/>
      <c r="N195" s="271"/>
      <c r="O195" s="1543"/>
      <c r="P195" s="1543"/>
      <c r="AH195" s="1550">
        <v>0</v>
      </c>
    </row>
    <row r="196" spans="1:34" s="2238" customFormat="1" ht="18.75" hidden="1" customHeight="1">
      <c r="A196" s="1698" t="s">
        <v>258</v>
      </c>
      <c r="B196" s="1698" t="s">
        <v>259</v>
      </c>
      <c r="C196" s="306"/>
      <c r="D196" s="2683"/>
      <c r="E196" s="2437"/>
      <c r="F196" s="258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659" t="str">
        <f>INDEX(PT_DIFFERENTIATION_NTAR,MATCH(B196,PT_DIFFERENTIATION_NTAR_ID,0))</f>
        <v/>
      </c>
      <c r="H196" s="1778"/>
      <c r="I196" s="1657"/>
      <c r="J196" s="1691"/>
      <c r="K196" s="1696"/>
      <c r="L196" s="1778" t="s">
        <v>304</v>
      </c>
      <c r="M196" s="278"/>
      <c r="N196" s="271"/>
      <c r="O196" s="1543"/>
      <c r="P196" s="1543"/>
      <c r="AH196" s="1550">
        <v>0</v>
      </c>
    </row>
    <row r="197" spans="1:34" s="2238" customFormat="1" ht="18.75" hidden="1" customHeight="1">
      <c r="A197" s="1698"/>
      <c r="B197" s="1698"/>
      <c r="C197" s="306" t="s">
        <v>1183</v>
      </c>
      <c r="D197" s="2683"/>
      <c r="E197" s="2437"/>
      <c r="F197" s="2580"/>
      <c r="G197" s="2659"/>
      <c r="H197" s="1419"/>
      <c r="I197" s="588" t="s">
        <v>1182</v>
      </c>
      <c r="J197" s="508"/>
      <c r="K197" s="1419"/>
      <c r="L197" s="151"/>
      <c r="M197" s="278"/>
      <c r="N197" s="271"/>
      <c r="O197" s="1543"/>
      <c r="P197" s="1543"/>
      <c r="AH197" s="1550">
        <v>0</v>
      </c>
    </row>
    <row r="198" spans="1:34" s="2238" customFormat="1" ht="0.75" hidden="1" customHeight="1">
      <c r="A198" s="1698"/>
      <c r="B198" s="1698"/>
      <c r="C198" s="306" t="s">
        <v>1190</v>
      </c>
      <c r="D198" s="2683"/>
      <c r="E198" s="2437"/>
      <c r="F198" s="2580"/>
      <c r="G198" s="337"/>
      <c r="H198" s="1419"/>
      <c r="I198" s="588"/>
      <c r="J198" s="508"/>
      <c r="K198" s="1419"/>
      <c r="L198" s="151"/>
      <c r="M198" s="278"/>
      <c r="N198" s="271"/>
      <c r="O198" s="1543"/>
      <c r="P198" s="1543"/>
      <c r="AH198" s="1550">
        <v>0</v>
      </c>
    </row>
    <row r="199" spans="1:34" s="2238" customFormat="1" ht="18.75" hidden="1" customHeight="1">
      <c r="A199" s="1698" t="s">
        <v>263</v>
      </c>
      <c r="B199" s="1698" t="s">
        <v>264</v>
      </c>
      <c r="C199" s="306"/>
      <c r="D199" s="2683"/>
      <c r="E199" s="2437"/>
      <c r="F199" s="2580" t="str">
        <f>INDEX(PT_DIFFERENTIATION_VTAR,MATCH(A199,PT_DIFFERENTIATION_VTAR_ID,0))</f>
        <v>Тариф на водоотведение</v>
      </c>
      <c r="G199" s="2659" t="str">
        <f>INDEX(PT_DIFFERENTIATION_NTAR,MATCH(B199,PT_DIFFERENTIATION_NTAR_ID,0))</f>
        <v/>
      </c>
      <c r="H199" s="1778"/>
      <c r="I199" s="1657"/>
      <c r="J199" s="1691"/>
      <c r="K199" s="1696"/>
      <c r="L199" s="1778" t="s">
        <v>304</v>
      </c>
      <c r="M199" s="278"/>
      <c r="N199" s="271"/>
      <c r="O199" s="1543"/>
      <c r="P199" s="1543"/>
      <c r="AH199" s="1550">
        <v>0</v>
      </c>
    </row>
    <row r="200" spans="1:34" s="2238" customFormat="1" ht="18.75" hidden="1" customHeight="1">
      <c r="A200" s="1698"/>
      <c r="B200" s="1698"/>
      <c r="C200" s="306" t="s">
        <v>1183</v>
      </c>
      <c r="D200" s="2683"/>
      <c r="E200" s="2437"/>
      <c r="F200" s="2580"/>
      <c r="G200" s="2659"/>
      <c r="H200" s="1419"/>
      <c r="I200" s="588" t="s">
        <v>1182</v>
      </c>
      <c r="J200" s="508"/>
      <c r="K200" s="1419"/>
      <c r="L200" s="151"/>
      <c r="M200" s="278"/>
      <c r="N200" s="271"/>
      <c r="O200" s="1543"/>
      <c r="P200" s="1543"/>
      <c r="AH200" s="1550">
        <v>0</v>
      </c>
    </row>
    <row r="201" spans="1:34" s="2238" customFormat="1" ht="0.75" hidden="1" customHeight="1">
      <c r="A201" s="1698"/>
      <c r="B201" s="1698"/>
      <c r="C201" s="306" t="s">
        <v>1190</v>
      </c>
      <c r="D201" s="2683"/>
      <c r="E201" s="2437"/>
      <c r="F201" s="2580"/>
      <c r="G201" s="337"/>
      <c r="H201" s="1419"/>
      <c r="I201" s="588"/>
      <c r="J201" s="508"/>
      <c r="K201" s="1419"/>
      <c r="L201" s="151"/>
      <c r="M201" s="278"/>
      <c r="N201" s="271"/>
      <c r="O201" s="1543"/>
      <c r="P201" s="1543"/>
      <c r="AH201" s="1550">
        <v>0</v>
      </c>
    </row>
    <row r="202" spans="1:34" s="2238" customFormat="1" ht="18.75" hidden="1" customHeight="1">
      <c r="A202" s="1698" t="s">
        <v>268</v>
      </c>
      <c r="B202" s="1698" t="s">
        <v>269</v>
      </c>
      <c r="C202" s="306"/>
      <c r="D202" s="2683"/>
      <c r="E202" s="2437"/>
      <c r="F202" s="2580" t="str">
        <f>INDEX(PT_DIFFERENTIATION_VTAR,MATCH(A202,PT_DIFFERENTIATION_VTAR_ID,0))</f>
        <v>Тариф на транспортировку сточных вод</v>
      </c>
      <c r="G202" s="2659" t="str">
        <f>INDEX(PT_DIFFERENTIATION_NTAR,MATCH(B202,PT_DIFFERENTIATION_NTAR_ID,0))</f>
        <v/>
      </c>
      <c r="H202" s="1778"/>
      <c r="I202" s="1657"/>
      <c r="J202" s="1691"/>
      <c r="K202" s="1696"/>
      <c r="L202" s="1778" t="s">
        <v>304</v>
      </c>
      <c r="M202" s="278"/>
      <c r="N202" s="271"/>
      <c r="O202" s="1543"/>
      <c r="P202" s="1543"/>
      <c r="AH202" s="1550">
        <v>0</v>
      </c>
    </row>
    <row r="203" spans="1:34" s="2238" customFormat="1" ht="18.75" hidden="1" customHeight="1">
      <c r="A203" s="1698"/>
      <c r="B203" s="1698"/>
      <c r="C203" s="306" t="s">
        <v>1183</v>
      </c>
      <c r="D203" s="2683"/>
      <c r="E203" s="2437"/>
      <c r="F203" s="2580"/>
      <c r="G203" s="2659"/>
      <c r="H203" s="1419"/>
      <c r="I203" s="588" t="s">
        <v>1182</v>
      </c>
      <c r="J203" s="508"/>
      <c r="K203" s="1419"/>
      <c r="L203" s="151"/>
      <c r="M203" s="278"/>
      <c r="N203" s="271"/>
      <c r="O203" s="1543"/>
      <c r="P203" s="1543"/>
      <c r="AH203" s="1550">
        <v>0</v>
      </c>
    </row>
    <row r="204" spans="1:34" s="2238" customFormat="1" ht="0.75" hidden="1" customHeight="1">
      <c r="A204" s="1698"/>
      <c r="B204" s="1698"/>
      <c r="C204" s="306" t="s">
        <v>1190</v>
      </c>
      <c r="D204" s="2683"/>
      <c r="E204" s="2437"/>
      <c r="F204" s="2580"/>
      <c r="G204" s="337"/>
      <c r="H204" s="1419"/>
      <c r="I204" s="588"/>
      <c r="J204" s="508"/>
      <c r="K204" s="1419"/>
      <c r="L204" s="151"/>
      <c r="M204" s="278"/>
      <c r="N204" s="271"/>
      <c r="O204" s="1543"/>
      <c r="P204" s="1543"/>
      <c r="AH204" s="1550">
        <v>0</v>
      </c>
    </row>
    <row r="205" spans="1:34" s="2238" customFormat="1" ht="18.75" hidden="1" customHeight="1">
      <c r="A205" s="1698" t="s">
        <v>273</v>
      </c>
      <c r="B205" s="1698" t="s">
        <v>274</v>
      </c>
      <c r="C205" s="306"/>
      <c r="D205" s="2683"/>
      <c r="E205" s="2437"/>
      <c r="F205" s="2580" t="str">
        <f>INDEX(PT_DIFFERENTIATION_VTAR,MATCH(A205,PT_DIFFERENTIATION_VTAR_ID,0))</f>
        <v>Тариф на подключение (технологическое присоединение) к централизованной системе водоотведения</v>
      </c>
      <c r="G205" s="2659" t="str">
        <f>INDEX(PT_DIFFERENTIATION_NTAR,MATCH(B205,PT_DIFFERENTIATION_NTAR_ID,0))</f>
        <v/>
      </c>
      <c r="H205" s="1778"/>
      <c r="I205" s="1657"/>
      <c r="J205" s="1691"/>
      <c r="K205" s="1696"/>
      <c r="L205" s="1778" t="s">
        <v>304</v>
      </c>
      <c r="M205" s="278"/>
      <c r="N205" s="271"/>
      <c r="O205" s="1543"/>
      <c r="P205" s="1543"/>
      <c r="AH205" s="1550">
        <v>0</v>
      </c>
    </row>
    <row r="206" spans="1:34" s="2238" customFormat="1" ht="18.75" hidden="1" customHeight="1">
      <c r="A206" s="1698"/>
      <c r="B206" s="1698"/>
      <c r="C206" s="306" t="s">
        <v>1183</v>
      </c>
      <c r="D206" s="2683"/>
      <c r="E206" s="2437"/>
      <c r="F206" s="2580"/>
      <c r="G206" s="2659"/>
      <c r="H206" s="1419"/>
      <c r="I206" s="588" t="s">
        <v>1182</v>
      </c>
      <c r="J206" s="508"/>
      <c r="K206" s="1419"/>
      <c r="L206" s="151"/>
      <c r="M206" s="278"/>
      <c r="N206" s="271"/>
      <c r="O206" s="1543"/>
      <c r="P206" s="1543"/>
      <c r="AH206" s="1550">
        <v>0</v>
      </c>
    </row>
    <row r="207" spans="1:34" s="2238" customFormat="1" ht="1.1499999999999999" customHeight="1">
      <c r="A207" s="1698"/>
      <c r="B207" s="1698"/>
      <c r="C207" s="306" t="s">
        <v>1190</v>
      </c>
      <c r="D207" s="2683"/>
      <c r="E207" s="2437"/>
      <c r="F207" s="2580"/>
      <c r="G207" s="337"/>
      <c r="H207" s="1419"/>
      <c r="I207" s="588"/>
      <c r="J207" s="508"/>
      <c r="K207" s="1419"/>
      <c r="L207" s="151"/>
      <c r="M207" s="278"/>
      <c r="N207" s="271"/>
      <c r="O207" s="1543"/>
      <c r="P207" s="1543"/>
      <c r="AH207" s="1550">
        <v>1</v>
      </c>
    </row>
    <row r="208" spans="1:34" ht="27.4" customHeight="1">
      <c r="A208" s="1698"/>
      <c r="B208" s="1698"/>
      <c r="D208" s="313"/>
      <c r="E208" s="85" t="s">
        <v>110</v>
      </c>
      <c r="F208" s="268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682"/>
      <c r="H208" s="2682"/>
      <c r="I208" s="2682"/>
      <c r="J208" s="2682"/>
      <c r="K208" s="2682"/>
      <c r="L208" s="2682"/>
      <c r="M208" s="234"/>
      <c r="N208" s="271"/>
      <c r="AH208" s="311">
        <v>26</v>
      </c>
    </row>
    <row r="209" spans="1:34" s="2238" customFormat="1" ht="60.75" hidden="1" customHeight="1">
      <c r="A209" s="1698" t="s">
        <v>155</v>
      </c>
      <c r="B209" s="1698" t="s">
        <v>156</v>
      </c>
      <c r="C209" s="306"/>
      <c r="D209" s="2683"/>
      <c r="E209" s="2437"/>
      <c r="F209" s="258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659" t="str">
        <f>INDEX(PT_DIFFERENTIATION_NTAR,MATCH(B209,PT_DIFFERENTIATION_NTAR_ID,0))</f>
        <v/>
      </c>
      <c r="H209" s="1778"/>
      <c r="I209" s="1657"/>
      <c r="J209" s="1691"/>
      <c r="K209" s="1696"/>
      <c r="L209" s="1778" t="s">
        <v>304</v>
      </c>
      <c r="M209" s="240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271"/>
      <c r="O209" s="1543"/>
      <c r="P209" s="1543"/>
      <c r="AH209" s="1550">
        <v>0</v>
      </c>
    </row>
    <row r="210" spans="1:34" s="2238" customFormat="1" ht="18.75" hidden="1" customHeight="1">
      <c r="A210" s="1698"/>
      <c r="B210" s="1698"/>
      <c r="C210" s="306" t="s">
        <v>1183</v>
      </c>
      <c r="D210" s="2683"/>
      <c r="E210" s="2437"/>
      <c r="F210" s="2580"/>
      <c r="G210" s="2659"/>
      <c r="H210" s="1419"/>
      <c r="I210" s="588" t="s">
        <v>1182</v>
      </c>
      <c r="J210" s="508"/>
      <c r="K210" s="1419"/>
      <c r="L210" s="151"/>
      <c r="M210" s="2406"/>
      <c r="N210" s="271"/>
      <c r="O210" s="1543"/>
      <c r="P210" s="1543"/>
      <c r="AH210" s="1550">
        <v>0</v>
      </c>
    </row>
    <row r="211" spans="1:34" s="2238" customFormat="1" ht="0.75" hidden="1" customHeight="1">
      <c r="A211" s="1698"/>
      <c r="B211" s="1698"/>
      <c r="C211" s="306" t="s">
        <v>1190</v>
      </c>
      <c r="D211" s="2683"/>
      <c r="E211" s="2437"/>
      <c r="F211" s="2580"/>
      <c r="G211" s="337"/>
      <c r="H211" s="1419"/>
      <c r="I211" s="588"/>
      <c r="J211" s="508"/>
      <c r="K211" s="1419"/>
      <c r="L211" s="151"/>
      <c r="M211" s="2406"/>
      <c r="N211" s="271"/>
      <c r="O211" s="1543"/>
      <c r="P211" s="1543"/>
      <c r="AH211" s="1550">
        <v>0</v>
      </c>
    </row>
    <row r="212" spans="1:34" s="2238" customFormat="1" ht="45" hidden="1" customHeight="1">
      <c r="A212" s="1698" t="s">
        <v>160</v>
      </c>
      <c r="B212" s="1698" t="s">
        <v>161</v>
      </c>
      <c r="C212" s="306"/>
      <c r="D212" s="2683"/>
      <c r="E212" s="2437"/>
      <c r="F212" s="2580" t="str">
        <f>INDEX(PT_DIFFERENTIATION_VTAR,MATCH(A212,PT_DIFFERENTIATION_VTAR_ID,0))</f>
        <v/>
      </c>
      <c r="G212" s="2659" t="str">
        <f>INDEX(PT_DIFFERENTIATION_NTAR,MATCH(B212,PT_DIFFERENTIATION_NTAR_ID,0))</f>
        <v/>
      </c>
      <c r="H212" s="1778"/>
      <c r="I212" s="1657"/>
      <c r="J212" s="1691"/>
      <c r="K212" s="1696"/>
      <c r="L212" s="1778" t="s">
        <v>304</v>
      </c>
      <c r="M212" s="2407"/>
      <c r="N212" s="271"/>
      <c r="O212" s="1543"/>
      <c r="P212" s="1543"/>
      <c r="AH212" s="1550">
        <v>0</v>
      </c>
    </row>
    <row r="213" spans="1:34" s="2238" customFormat="1" ht="18.75" hidden="1" customHeight="1">
      <c r="A213" s="1698"/>
      <c r="B213" s="1698"/>
      <c r="C213" s="306" t="s">
        <v>1183</v>
      </c>
      <c r="D213" s="2683"/>
      <c r="E213" s="2437"/>
      <c r="F213" s="2580"/>
      <c r="G213" s="2659"/>
      <c r="H213" s="1419"/>
      <c r="I213" s="588" t="s">
        <v>1182</v>
      </c>
      <c r="J213" s="508"/>
      <c r="K213" s="1419"/>
      <c r="L213" s="151"/>
      <c r="M213" s="1777"/>
      <c r="N213" s="271"/>
      <c r="O213" s="1543"/>
      <c r="P213" s="1543"/>
      <c r="AH213" s="1550">
        <v>0</v>
      </c>
    </row>
    <row r="214" spans="1:34" s="2238" customFormat="1" ht="0.75" hidden="1" customHeight="1">
      <c r="A214" s="1698"/>
      <c r="B214" s="1698"/>
      <c r="C214" s="306" t="s">
        <v>1190</v>
      </c>
      <c r="D214" s="2683"/>
      <c r="E214" s="2437"/>
      <c r="F214" s="2580"/>
      <c r="G214" s="337"/>
      <c r="H214" s="1419"/>
      <c r="I214" s="588"/>
      <c r="J214" s="508"/>
      <c r="K214" s="1419"/>
      <c r="L214" s="151"/>
      <c r="M214" s="278"/>
      <c r="N214" s="271"/>
      <c r="O214" s="1543"/>
      <c r="P214" s="1543"/>
      <c r="AH214" s="1550">
        <v>0</v>
      </c>
    </row>
    <row r="215" spans="1:34" s="2238" customFormat="1" ht="45" hidden="1" customHeight="1">
      <c r="A215" s="1698" t="s">
        <v>167</v>
      </c>
      <c r="B215" s="1698" t="s">
        <v>168</v>
      </c>
      <c r="C215" s="306"/>
      <c r="D215" s="2683"/>
      <c r="E215" s="2437"/>
      <c r="F215" s="258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659" t="str">
        <f>INDEX(PT_DIFFERENTIATION_NTAR,MATCH(B215,PT_DIFFERENTIATION_NTAR_ID,0))</f>
        <v/>
      </c>
      <c r="H215" s="1778"/>
      <c r="I215" s="1657"/>
      <c r="J215" s="1691"/>
      <c r="K215" s="1696"/>
      <c r="L215" s="1778" t="s">
        <v>304</v>
      </c>
      <c r="M215" s="278"/>
      <c r="N215" s="271"/>
      <c r="O215" s="1543"/>
      <c r="P215" s="1543"/>
      <c r="AH215" s="1550">
        <v>0</v>
      </c>
    </row>
    <row r="216" spans="1:34" s="2238" customFormat="1" ht="18.75" hidden="1" customHeight="1">
      <c r="A216" s="1698"/>
      <c r="B216" s="1698"/>
      <c r="C216" s="306" t="s">
        <v>1183</v>
      </c>
      <c r="D216" s="2683"/>
      <c r="E216" s="2437"/>
      <c r="F216" s="2580"/>
      <c r="G216" s="2659"/>
      <c r="H216" s="1419"/>
      <c r="I216" s="588" t="s">
        <v>1182</v>
      </c>
      <c r="J216" s="508"/>
      <c r="K216" s="1419"/>
      <c r="L216" s="151"/>
      <c r="M216" s="278"/>
      <c r="N216" s="271"/>
      <c r="O216" s="1543"/>
      <c r="P216" s="1543"/>
      <c r="AH216" s="1550">
        <v>0</v>
      </c>
    </row>
    <row r="217" spans="1:34" s="2238" customFormat="1" ht="0.75" hidden="1" customHeight="1">
      <c r="A217" s="1698"/>
      <c r="B217" s="1698"/>
      <c r="C217" s="306" t="s">
        <v>1190</v>
      </c>
      <c r="D217" s="2683"/>
      <c r="E217" s="2437"/>
      <c r="F217" s="2580"/>
      <c r="G217" s="337"/>
      <c r="H217" s="1419"/>
      <c r="I217" s="588"/>
      <c r="J217" s="508"/>
      <c r="K217" s="1419"/>
      <c r="L217" s="151"/>
      <c r="M217" s="278"/>
      <c r="N217" s="271"/>
      <c r="O217" s="1543"/>
      <c r="P217" s="1543"/>
      <c r="AH217" s="1550">
        <v>0</v>
      </c>
    </row>
    <row r="218" spans="1:34" s="2238" customFormat="1" ht="45" hidden="1" customHeight="1">
      <c r="A218" s="1698" t="s">
        <v>173</v>
      </c>
      <c r="B218" s="1698" t="s">
        <v>174</v>
      </c>
      <c r="C218" s="306"/>
      <c r="D218" s="2683"/>
      <c r="E218" s="2437"/>
      <c r="F218" s="258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659" t="str">
        <f>INDEX(PT_DIFFERENTIATION_NTAR,MATCH(B218,PT_DIFFERENTIATION_NTAR_ID,0))</f>
        <v/>
      </c>
      <c r="H218" s="1778"/>
      <c r="I218" s="1657"/>
      <c r="J218" s="1691"/>
      <c r="K218" s="1696"/>
      <c r="L218" s="1778" t="s">
        <v>304</v>
      </c>
      <c r="M218" s="278"/>
      <c r="N218" s="271"/>
      <c r="O218" s="1543"/>
      <c r="P218" s="1543"/>
      <c r="AH218" s="1550">
        <v>0</v>
      </c>
    </row>
    <row r="219" spans="1:34" s="2238" customFormat="1" ht="18.75" hidden="1" customHeight="1">
      <c r="A219" s="1698"/>
      <c r="B219" s="1698"/>
      <c r="C219" s="306" t="s">
        <v>1183</v>
      </c>
      <c r="D219" s="2683"/>
      <c r="E219" s="2437"/>
      <c r="F219" s="2580"/>
      <c r="G219" s="2659"/>
      <c r="H219" s="1419"/>
      <c r="I219" s="588" t="s">
        <v>1182</v>
      </c>
      <c r="J219" s="508"/>
      <c r="K219" s="1419"/>
      <c r="L219" s="151"/>
      <c r="M219" s="278"/>
      <c r="N219" s="271"/>
      <c r="O219" s="1543"/>
      <c r="P219" s="1543"/>
      <c r="AH219" s="1550">
        <v>0</v>
      </c>
    </row>
    <row r="220" spans="1:34" s="2238" customFormat="1" ht="0.75" hidden="1" customHeight="1">
      <c r="A220" s="1698"/>
      <c r="B220" s="1698"/>
      <c r="C220" s="306" t="s">
        <v>1190</v>
      </c>
      <c r="D220" s="2683"/>
      <c r="E220" s="2437"/>
      <c r="F220" s="2580"/>
      <c r="G220" s="337"/>
      <c r="H220" s="1419"/>
      <c r="I220" s="588"/>
      <c r="J220" s="508"/>
      <c r="K220" s="1419"/>
      <c r="L220" s="151"/>
      <c r="M220" s="278"/>
      <c r="N220" s="271"/>
      <c r="O220" s="1543"/>
      <c r="P220" s="1543"/>
      <c r="AH220" s="1550">
        <v>0</v>
      </c>
    </row>
    <row r="221" spans="1:34" s="2238" customFormat="1" ht="18.75" hidden="1" customHeight="1">
      <c r="A221" s="1698" t="s">
        <v>179</v>
      </c>
      <c r="B221" s="1698" t="s">
        <v>180</v>
      </c>
      <c r="C221" s="306"/>
      <c r="D221" s="2683"/>
      <c r="E221" s="2437"/>
      <c r="F221" s="2580" t="str">
        <f>INDEX(PT_DIFFERENTIATION_VTAR,MATCH(A221,PT_DIFFERENTIATION_VTAR_ID,0))</f>
        <v>Тарифы на услуги по передаче тепловой энергии</v>
      </c>
      <c r="G221" s="2659" t="str">
        <f>INDEX(PT_DIFFERENTIATION_NTAR,MATCH(B221,PT_DIFFERENTIATION_NTAR_ID,0))</f>
        <v/>
      </c>
      <c r="H221" s="1778"/>
      <c r="I221" s="1657"/>
      <c r="J221" s="1691"/>
      <c r="K221" s="1696"/>
      <c r="L221" s="1778" t="s">
        <v>304</v>
      </c>
      <c r="M221" s="278"/>
      <c r="N221" s="271"/>
      <c r="O221" s="1543"/>
      <c r="P221" s="1543"/>
      <c r="AH221" s="1550">
        <v>0</v>
      </c>
    </row>
    <row r="222" spans="1:34" s="2238" customFormat="1" ht="18.75" hidden="1" customHeight="1">
      <c r="A222" s="1698"/>
      <c r="B222" s="1698"/>
      <c r="C222" s="306" t="s">
        <v>1183</v>
      </c>
      <c r="D222" s="2683"/>
      <c r="E222" s="2437"/>
      <c r="F222" s="2580"/>
      <c r="G222" s="2659"/>
      <c r="H222" s="1419"/>
      <c r="I222" s="588" t="s">
        <v>1182</v>
      </c>
      <c r="J222" s="508"/>
      <c r="K222" s="1419"/>
      <c r="L222" s="151"/>
      <c r="M222" s="278"/>
      <c r="N222" s="271"/>
      <c r="O222" s="1543"/>
      <c r="P222" s="1543"/>
      <c r="AH222" s="1550">
        <v>0</v>
      </c>
    </row>
    <row r="223" spans="1:34" s="2238" customFormat="1" ht="0.75" hidden="1" customHeight="1">
      <c r="A223" s="1698"/>
      <c r="B223" s="1698"/>
      <c r="C223" s="306" t="s">
        <v>1190</v>
      </c>
      <c r="D223" s="2683"/>
      <c r="E223" s="2437"/>
      <c r="F223" s="2580"/>
      <c r="G223" s="337"/>
      <c r="H223" s="1419"/>
      <c r="I223" s="588"/>
      <c r="J223" s="508"/>
      <c r="K223" s="1419"/>
      <c r="L223" s="151"/>
      <c r="M223" s="278"/>
      <c r="N223" s="271"/>
      <c r="O223" s="1543"/>
      <c r="P223" s="1543"/>
      <c r="AH223" s="1550">
        <v>0</v>
      </c>
    </row>
    <row r="224" spans="1:34" s="2238" customFormat="1" ht="18.75" hidden="1" customHeight="1">
      <c r="A224" s="1698" t="s">
        <v>185</v>
      </c>
      <c r="B224" s="1698" t="s">
        <v>186</v>
      </c>
      <c r="C224" s="306"/>
      <c r="D224" s="2683"/>
      <c r="E224" s="2437"/>
      <c r="F224" s="2580" t="str">
        <f>INDEX(PT_DIFFERENTIATION_VTAR,MATCH(A224,PT_DIFFERENTIATION_VTAR_ID,0))</f>
        <v>Тарифы на услуги по передаче теплоносителя</v>
      </c>
      <c r="G224" s="2659" t="str">
        <f>INDEX(PT_DIFFERENTIATION_NTAR,MATCH(B224,PT_DIFFERENTIATION_NTAR_ID,0))</f>
        <v/>
      </c>
      <c r="H224" s="1778"/>
      <c r="I224" s="1657"/>
      <c r="J224" s="1691"/>
      <c r="K224" s="1696"/>
      <c r="L224" s="1778" t="s">
        <v>304</v>
      </c>
      <c r="M224" s="278"/>
      <c r="N224" s="271"/>
      <c r="O224" s="1543"/>
      <c r="P224" s="1543"/>
      <c r="AH224" s="1550">
        <v>0</v>
      </c>
    </row>
    <row r="225" spans="1:34" s="2238" customFormat="1" ht="18.75" hidden="1" customHeight="1">
      <c r="A225" s="1698"/>
      <c r="B225" s="1698"/>
      <c r="C225" s="306" t="s">
        <v>1183</v>
      </c>
      <c r="D225" s="2683"/>
      <c r="E225" s="2437"/>
      <c r="F225" s="2580"/>
      <c r="G225" s="2659"/>
      <c r="H225" s="1419"/>
      <c r="I225" s="588" t="s">
        <v>1182</v>
      </c>
      <c r="J225" s="508"/>
      <c r="K225" s="1419"/>
      <c r="L225" s="151"/>
      <c r="M225" s="278"/>
      <c r="N225" s="271"/>
      <c r="O225" s="1543"/>
      <c r="P225" s="1543"/>
      <c r="AH225" s="1550">
        <v>0</v>
      </c>
    </row>
    <row r="226" spans="1:34" s="2238" customFormat="1" ht="0.75" hidden="1" customHeight="1">
      <c r="A226" s="1698"/>
      <c r="B226" s="1698"/>
      <c r="C226" s="306" t="s">
        <v>1190</v>
      </c>
      <c r="D226" s="2683"/>
      <c r="E226" s="2437"/>
      <c r="F226" s="2580"/>
      <c r="G226" s="337"/>
      <c r="H226" s="1419"/>
      <c r="I226" s="588"/>
      <c r="J226" s="508"/>
      <c r="K226" s="1419"/>
      <c r="L226" s="151"/>
      <c r="M226" s="278"/>
      <c r="N226" s="271"/>
      <c r="O226" s="1543"/>
      <c r="P226" s="1543"/>
      <c r="AH226" s="1550">
        <v>0</v>
      </c>
    </row>
    <row r="227" spans="1:34" s="2238" customFormat="1" ht="18.75" hidden="1" customHeight="1">
      <c r="A227" s="1698" t="s">
        <v>191</v>
      </c>
      <c r="B227" s="1698" t="s">
        <v>192</v>
      </c>
      <c r="C227" s="306"/>
      <c r="D227" s="2683"/>
      <c r="E227" s="2437"/>
      <c r="F227" s="258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659" t="str">
        <f>INDEX(PT_DIFFERENTIATION_NTAR,MATCH(B227,PT_DIFFERENTIATION_NTAR_ID,0))</f>
        <v/>
      </c>
      <c r="H227" s="1778"/>
      <c r="I227" s="1657"/>
      <c r="J227" s="1691"/>
      <c r="K227" s="1696"/>
      <c r="L227" s="1778" t="s">
        <v>304</v>
      </c>
      <c r="M227" s="278"/>
      <c r="N227" s="271"/>
      <c r="O227" s="1543"/>
      <c r="P227" s="1543"/>
      <c r="AH227" s="1550">
        <v>0</v>
      </c>
    </row>
    <row r="228" spans="1:34" s="2238" customFormat="1" ht="18.75" hidden="1" customHeight="1">
      <c r="A228" s="1698"/>
      <c r="B228" s="1698"/>
      <c r="C228" s="306" t="s">
        <v>1183</v>
      </c>
      <c r="D228" s="2683"/>
      <c r="E228" s="2437"/>
      <c r="F228" s="2580"/>
      <c r="G228" s="2659"/>
      <c r="H228" s="1419"/>
      <c r="I228" s="588" t="s">
        <v>1182</v>
      </c>
      <c r="J228" s="508"/>
      <c r="K228" s="1419"/>
      <c r="L228" s="151"/>
      <c r="M228" s="278"/>
      <c r="N228" s="271"/>
      <c r="O228" s="1543"/>
      <c r="P228" s="1543"/>
      <c r="AH228" s="1550">
        <v>0</v>
      </c>
    </row>
    <row r="229" spans="1:34" s="2238" customFormat="1" ht="0.75" hidden="1" customHeight="1">
      <c r="A229" s="1698"/>
      <c r="B229" s="1698"/>
      <c r="C229" s="306" t="s">
        <v>1190</v>
      </c>
      <c r="D229" s="2683"/>
      <c r="E229" s="2437"/>
      <c r="F229" s="2580"/>
      <c r="G229" s="337"/>
      <c r="H229" s="1419"/>
      <c r="I229" s="588"/>
      <c r="J229" s="508"/>
      <c r="K229" s="1419"/>
      <c r="L229" s="151"/>
      <c r="M229" s="278"/>
      <c r="N229" s="271"/>
      <c r="O229" s="1543"/>
      <c r="P229" s="1543"/>
      <c r="AH229" s="1550">
        <v>0</v>
      </c>
    </row>
    <row r="230" spans="1:34" s="2238" customFormat="1" ht="18.75" hidden="1" customHeight="1">
      <c r="A230" s="1698" t="s">
        <v>197</v>
      </c>
      <c r="B230" s="1698" t="s">
        <v>198</v>
      </c>
      <c r="C230" s="306"/>
      <c r="D230" s="2683"/>
      <c r="E230" s="2437"/>
      <c r="F230" s="2580" t="str">
        <f>INDEX(PT_DIFFERENTIATION_VTAR,MATCH(A230,PT_DIFFERENTIATION_VTAR_ID,0))</f>
        <v>Плата за подключение (технологическое присоединение) к системе теплоснабжения</v>
      </c>
      <c r="G230" s="2659" t="str">
        <f>INDEX(PT_DIFFERENTIATION_NTAR,MATCH(B230,PT_DIFFERENTIATION_NTAR_ID,0))</f>
        <v/>
      </c>
      <c r="H230" s="1778"/>
      <c r="I230" s="1657"/>
      <c r="J230" s="1691"/>
      <c r="K230" s="1696"/>
      <c r="L230" s="1778" t="s">
        <v>304</v>
      </c>
      <c r="M230" s="278"/>
      <c r="N230" s="271"/>
      <c r="O230" s="1543"/>
      <c r="P230" s="1543"/>
      <c r="AH230" s="1550">
        <v>0</v>
      </c>
    </row>
    <row r="231" spans="1:34" s="2238" customFormat="1" ht="18.75" hidden="1" customHeight="1">
      <c r="A231" s="1698"/>
      <c r="B231" s="1698"/>
      <c r="C231" s="306" t="s">
        <v>1183</v>
      </c>
      <c r="D231" s="2683"/>
      <c r="E231" s="2437"/>
      <c r="F231" s="2580"/>
      <c r="G231" s="2659"/>
      <c r="H231" s="1419"/>
      <c r="I231" s="588" t="s">
        <v>1182</v>
      </c>
      <c r="J231" s="508"/>
      <c r="K231" s="1419"/>
      <c r="L231" s="151"/>
      <c r="M231" s="278"/>
      <c r="N231" s="271"/>
      <c r="O231" s="1543"/>
      <c r="P231" s="1543"/>
      <c r="AH231" s="1550">
        <v>0</v>
      </c>
    </row>
    <row r="232" spans="1:34" s="2238" customFormat="1" ht="0.75" hidden="1" customHeight="1">
      <c r="A232" s="1698"/>
      <c r="B232" s="1698"/>
      <c r="C232" s="306" t="s">
        <v>1190</v>
      </c>
      <c r="D232" s="2683"/>
      <c r="E232" s="2437"/>
      <c r="F232" s="2580"/>
      <c r="G232" s="337"/>
      <c r="H232" s="1419"/>
      <c r="I232" s="588"/>
      <c r="J232" s="508"/>
      <c r="K232" s="1419"/>
      <c r="L232" s="151"/>
      <c r="M232" s="278"/>
      <c r="N232" s="271"/>
      <c r="O232" s="1543"/>
      <c r="P232" s="1543"/>
      <c r="AH232" s="1550">
        <v>0</v>
      </c>
    </row>
    <row r="233" spans="1:34" s="2238" customFormat="1" ht="18.75" hidden="1" customHeight="1">
      <c r="A233" s="1698" t="s">
        <v>203</v>
      </c>
      <c r="B233" s="1698" t="s">
        <v>204</v>
      </c>
      <c r="C233" s="306"/>
      <c r="D233" s="2683"/>
      <c r="E233" s="2437"/>
      <c r="F233" s="2580" t="str">
        <f>INDEX(PT_DIFFERENTIATION_VTAR,MATCH(A233,PT_DIFFERENTIATION_VTAR_ID,0))</f>
        <v>Плата за подключение (технологическое присоединение) к системе теплоснабжения (индивидуальная)</v>
      </c>
      <c r="G233" s="2659" t="str">
        <f>INDEX(PT_DIFFERENTIATION_NTAR,MATCH(B233,PT_DIFFERENTIATION_NTAR_ID,0))</f>
        <v/>
      </c>
      <c r="H233" s="1902"/>
      <c r="I233" s="1657"/>
      <c r="J233" s="1691"/>
      <c r="K233" s="1696"/>
      <c r="L233" s="1902" t="s">
        <v>304</v>
      </c>
      <c r="M233" s="278"/>
      <c r="N233" s="271"/>
      <c r="O233" s="1543"/>
      <c r="P233" s="1543"/>
      <c r="AH233" s="1550">
        <v>0</v>
      </c>
    </row>
    <row r="234" spans="1:34" s="2238" customFormat="1" ht="18.75" hidden="1" customHeight="1">
      <c r="A234" s="1698"/>
      <c r="B234" s="1698"/>
      <c r="C234" s="306" t="s">
        <v>1183</v>
      </c>
      <c r="D234" s="2683"/>
      <c r="E234" s="2437"/>
      <c r="F234" s="2580"/>
      <c r="G234" s="2659"/>
      <c r="H234" s="1419"/>
      <c r="I234" s="588" t="s">
        <v>1182</v>
      </c>
      <c r="J234" s="508"/>
      <c r="K234" s="1419"/>
      <c r="L234" s="151"/>
      <c r="M234" s="278"/>
      <c r="N234" s="271"/>
      <c r="O234" s="1543"/>
      <c r="P234" s="1543"/>
      <c r="AH234" s="1550">
        <v>0</v>
      </c>
    </row>
    <row r="235" spans="1:34" s="2238" customFormat="1" ht="0.75" hidden="1" customHeight="1">
      <c r="A235" s="1698"/>
      <c r="B235" s="1698"/>
      <c r="C235" s="306" t="s">
        <v>1190</v>
      </c>
      <c r="D235" s="2683"/>
      <c r="E235" s="2437"/>
      <c r="F235" s="2580"/>
      <c r="G235" s="337"/>
      <c r="H235" s="1419"/>
      <c r="I235" s="588"/>
      <c r="J235" s="508"/>
      <c r="K235" s="1419"/>
      <c r="L235" s="151"/>
      <c r="M235" s="278"/>
      <c r="N235" s="271"/>
      <c r="O235" s="1543"/>
      <c r="P235" s="1543"/>
      <c r="AH235" s="1550">
        <v>0</v>
      </c>
    </row>
    <row r="236" spans="1:34" s="2238" customFormat="1" ht="18.75" hidden="1" customHeight="1">
      <c r="A236" s="1698" t="s">
        <v>223</v>
      </c>
      <c r="B236" s="1698" t="s">
        <v>224</v>
      </c>
      <c r="C236" s="306"/>
      <c r="D236" s="2683"/>
      <c r="E236" s="2437"/>
      <c r="F236" s="2580" t="str">
        <f>INDEX(PT_DIFFERENTIATION_VTAR,MATCH(A236,PT_DIFFERENTIATION_VTAR_ID,0))</f>
        <v>Тариф на питьевую воду (питьевое водоснабжение)</v>
      </c>
      <c r="G236" s="2659" t="str">
        <f>INDEX(PT_DIFFERENTIATION_NTAR,MATCH(B236,PT_DIFFERENTIATION_NTAR_ID,0))</f>
        <v/>
      </c>
      <c r="H236" s="1778"/>
      <c r="I236" s="1657"/>
      <c r="J236" s="1691"/>
      <c r="K236" s="1696"/>
      <c r="L236" s="1778" t="s">
        <v>304</v>
      </c>
      <c r="M236" s="278"/>
      <c r="N236" s="271"/>
      <c r="O236" s="1543"/>
      <c r="P236" s="1543"/>
      <c r="AH236" s="1550">
        <v>0</v>
      </c>
    </row>
    <row r="237" spans="1:34" s="2238" customFormat="1" ht="18.75" hidden="1" customHeight="1">
      <c r="A237" s="1698"/>
      <c r="B237" s="1698"/>
      <c r="C237" s="306" t="s">
        <v>1183</v>
      </c>
      <c r="D237" s="2683"/>
      <c r="E237" s="2437"/>
      <c r="F237" s="2580"/>
      <c r="G237" s="2659"/>
      <c r="H237" s="1419"/>
      <c r="I237" s="588" t="s">
        <v>1182</v>
      </c>
      <c r="J237" s="508"/>
      <c r="K237" s="1419"/>
      <c r="L237" s="151"/>
      <c r="M237" s="278"/>
      <c r="N237" s="271"/>
      <c r="O237" s="1543"/>
      <c r="P237" s="1543"/>
      <c r="AH237" s="1550">
        <v>0</v>
      </c>
    </row>
    <row r="238" spans="1:34" s="2238" customFormat="1" ht="0.75" hidden="1" customHeight="1">
      <c r="A238" s="1698"/>
      <c r="B238" s="1698"/>
      <c r="C238" s="306" t="s">
        <v>1190</v>
      </c>
      <c r="D238" s="2683"/>
      <c r="E238" s="2437"/>
      <c r="F238" s="2580"/>
      <c r="G238" s="337"/>
      <c r="H238" s="1419"/>
      <c r="I238" s="588"/>
      <c r="J238" s="508"/>
      <c r="K238" s="1419"/>
      <c r="L238" s="151"/>
      <c r="M238" s="278"/>
      <c r="N238" s="271"/>
      <c r="O238" s="1543"/>
      <c r="P238" s="1543"/>
      <c r="AH238" s="1550">
        <v>0</v>
      </c>
    </row>
    <row r="239" spans="1:34" s="2238" customFormat="1" ht="18.75" hidden="1" customHeight="1">
      <c r="A239" s="1698" t="s">
        <v>228</v>
      </c>
      <c r="B239" s="1698" t="s">
        <v>229</v>
      </c>
      <c r="C239" s="306"/>
      <c r="D239" s="2683"/>
      <c r="E239" s="2437"/>
      <c r="F239" s="2580" t="str">
        <f>INDEX(PT_DIFFERENTIATION_VTAR,MATCH(A239,PT_DIFFERENTIATION_VTAR_ID,0))</f>
        <v>Тариф на техническую воду</v>
      </c>
      <c r="G239" s="2659" t="str">
        <f>INDEX(PT_DIFFERENTIATION_NTAR,MATCH(B239,PT_DIFFERENTIATION_NTAR_ID,0))</f>
        <v/>
      </c>
      <c r="H239" s="1778"/>
      <c r="I239" s="1657"/>
      <c r="J239" s="1691"/>
      <c r="K239" s="1696"/>
      <c r="L239" s="1778" t="s">
        <v>304</v>
      </c>
      <c r="M239" s="278"/>
      <c r="N239" s="271"/>
      <c r="O239" s="1543"/>
      <c r="P239" s="1543"/>
      <c r="AH239" s="1550">
        <v>0</v>
      </c>
    </row>
    <row r="240" spans="1:34" s="2238" customFormat="1" ht="18.75" hidden="1" customHeight="1">
      <c r="A240" s="1698"/>
      <c r="B240" s="1698"/>
      <c r="C240" s="306" t="s">
        <v>1183</v>
      </c>
      <c r="D240" s="2683"/>
      <c r="E240" s="2437"/>
      <c r="F240" s="2580"/>
      <c r="G240" s="2659"/>
      <c r="H240" s="1419"/>
      <c r="I240" s="588" t="s">
        <v>1182</v>
      </c>
      <c r="J240" s="508"/>
      <c r="K240" s="1419"/>
      <c r="L240" s="151"/>
      <c r="M240" s="278"/>
      <c r="N240" s="271"/>
      <c r="O240" s="1543"/>
      <c r="P240" s="1543"/>
      <c r="AH240" s="1550">
        <v>0</v>
      </c>
    </row>
    <row r="241" spans="1:34" s="2238" customFormat="1" ht="0.75" hidden="1" customHeight="1">
      <c r="A241" s="1698"/>
      <c r="B241" s="1698"/>
      <c r="C241" s="306" t="s">
        <v>1190</v>
      </c>
      <c r="D241" s="2683"/>
      <c r="E241" s="2437"/>
      <c r="F241" s="2580"/>
      <c r="G241" s="337"/>
      <c r="H241" s="1419"/>
      <c r="I241" s="588"/>
      <c r="J241" s="508"/>
      <c r="K241" s="1419"/>
      <c r="L241" s="151"/>
      <c r="M241" s="278"/>
      <c r="N241" s="271"/>
      <c r="O241" s="1543"/>
      <c r="P241" s="1543"/>
      <c r="AH241" s="1550">
        <v>0</v>
      </c>
    </row>
    <row r="242" spans="1:34" s="2238" customFormat="1" ht="18.75" hidden="1" customHeight="1">
      <c r="A242" s="1698" t="s">
        <v>233</v>
      </c>
      <c r="B242" s="1698" t="s">
        <v>234</v>
      </c>
      <c r="C242" s="306"/>
      <c r="D242" s="2683"/>
      <c r="E242" s="2437"/>
      <c r="F242" s="2580" t="str">
        <f>INDEX(PT_DIFFERENTIATION_VTAR,MATCH(A242,PT_DIFFERENTIATION_VTAR_ID,0))</f>
        <v>Тариф на транспортировку воды</v>
      </c>
      <c r="G242" s="2659" t="str">
        <f>INDEX(PT_DIFFERENTIATION_NTAR,MATCH(B242,PT_DIFFERENTIATION_NTAR_ID,0))</f>
        <v/>
      </c>
      <c r="H242" s="1778"/>
      <c r="I242" s="1657"/>
      <c r="J242" s="1691"/>
      <c r="K242" s="1696"/>
      <c r="L242" s="1778" t="s">
        <v>304</v>
      </c>
      <c r="M242" s="278"/>
      <c r="N242" s="271"/>
      <c r="O242" s="1543"/>
      <c r="P242" s="1543"/>
      <c r="AH242" s="1550">
        <v>0</v>
      </c>
    </row>
    <row r="243" spans="1:34" s="2238" customFormat="1" ht="18.75" hidden="1" customHeight="1">
      <c r="A243" s="1698"/>
      <c r="B243" s="1698"/>
      <c r="C243" s="306" t="s">
        <v>1183</v>
      </c>
      <c r="D243" s="2683"/>
      <c r="E243" s="2437"/>
      <c r="F243" s="2580"/>
      <c r="G243" s="2659"/>
      <c r="H243" s="1419"/>
      <c r="I243" s="588" t="s">
        <v>1182</v>
      </c>
      <c r="J243" s="508"/>
      <c r="K243" s="1419"/>
      <c r="L243" s="151"/>
      <c r="M243" s="278"/>
      <c r="N243" s="271"/>
      <c r="O243" s="1543"/>
      <c r="P243" s="1543"/>
      <c r="AH243" s="1550">
        <v>0</v>
      </c>
    </row>
    <row r="244" spans="1:34" s="2238" customFormat="1" ht="0.75" hidden="1" customHeight="1">
      <c r="A244" s="1698"/>
      <c r="B244" s="1698"/>
      <c r="C244" s="306" t="s">
        <v>1190</v>
      </c>
      <c r="D244" s="2683"/>
      <c r="E244" s="2437"/>
      <c r="F244" s="2580"/>
      <c r="G244" s="337"/>
      <c r="H244" s="1419"/>
      <c r="I244" s="588"/>
      <c r="J244" s="508"/>
      <c r="K244" s="1419"/>
      <c r="L244" s="151"/>
      <c r="M244" s="278"/>
      <c r="N244" s="271"/>
      <c r="O244" s="1543"/>
      <c r="P244" s="1543"/>
      <c r="AH244" s="1550">
        <v>0</v>
      </c>
    </row>
    <row r="245" spans="1:34" s="2238" customFormat="1" ht="18.75" hidden="1" customHeight="1">
      <c r="A245" s="1698" t="s">
        <v>238</v>
      </c>
      <c r="B245" s="1698" t="s">
        <v>239</v>
      </c>
      <c r="C245" s="306"/>
      <c r="D245" s="2683"/>
      <c r="E245" s="2437"/>
      <c r="F245" s="2580" t="str">
        <f>INDEX(PT_DIFFERENTIATION_VTAR,MATCH(A245,PT_DIFFERENTIATION_VTAR_ID,0))</f>
        <v>Тариф на подвоз воды</v>
      </c>
      <c r="G245" s="2659" t="str">
        <f>INDEX(PT_DIFFERENTIATION_NTAR,MATCH(B245,PT_DIFFERENTIATION_NTAR_ID,0))</f>
        <v/>
      </c>
      <c r="H245" s="1778"/>
      <c r="I245" s="1657"/>
      <c r="J245" s="1691"/>
      <c r="K245" s="1696"/>
      <c r="L245" s="1778" t="s">
        <v>304</v>
      </c>
      <c r="M245" s="278"/>
      <c r="N245" s="271"/>
      <c r="O245" s="1543"/>
      <c r="P245" s="1543"/>
      <c r="AH245" s="1550">
        <v>0</v>
      </c>
    </row>
    <row r="246" spans="1:34" s="2238" customFormat="1" ht="18.75" hidden="1" customHeight="1">
      <c r="A246" s="1698"/>
      <c r="B246" s="1698"/>
      <c r="C246" s="306" t="s">
        <v>1183</v>
      </c>
      <c r="D246" s="2683"/>
      <c r="E246" s="2437"/>
      <c r="F246" s="2580"/>
      <c r="G246" s="2659"/>
      <c r="H246" s="1419"/>
      <c r="I246" s="588" t="s">
        <v>1182</v>
      </c>
      <c r="J246" s="508"/>
      <c r="K246" s="1419"/>
      <c r="L246" s="151"/>
      <c r="M246" s="278"/>
      <c r="N246" s="271"/>
      <c r="O246" s="1543"/>
      <c r="P246" s="1543"/>
      <c r="AH246" s="1550">
        <v>0</v>
      </c>
    </row>
    <row r="247" spans="1:34" s="2238" customFormat="1" ht="0.75" hidden="1" customHeight="1">
      <c r="A247" s="1698"/>
      <c r="B247" s="1698"/>
      <c r="C247" s="306" t="s">
        <v>1190</v>
      </c>
      <c r="D247" s="2683"/>
      <c r="E247" s="2437"/>
      <c r="F247" s="2580"/>
      <c r="G247" s="337"/>
      <c r="H247" s="1419"/>
      <c r="I247" s="588"/>
      <c r="J247" s="508"/>
      <c r="K247" s="1419"/>
      <c r="L247" s="151"/>
      <c r="M247" s="278"/>
      <c r="N247" s="271"/>
      <c r="O247" s="1543"/>
      <c r="P247" s="1543"/>
      <c r="AH247" s="1550">
        <v>0</v>
      </c>
    </row>
    <row r="248" spans="1:34" s="2238" customFormat="1" ht="18.75" hidden="1" customHeight="1">
      <c r="A248" s="1698" t="s">
        <v>243</v>
      </c>
      <c r="B248" s="1698" t="s">
        <v>244</v>
      </c>
      <c r="C248" s="306"/>
      <c r="D248" s="2683"/>
      <c r="E248" s="2437"/>
      <c r="F248" s="258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659" t="str">
        <f>INDEX(PT_DIFFERENTIATION_NTAR,MATCH(B248,PT_DIFFERENTIATION_NTAR_ID,0))</f>
        <v/>
      </c>
      <c r="H248" s="1778"/>
      <c r="I248" s="1657"/>
      <c r="J248" s="1691"/>
      <c r="K248" s="1696"/>
      <c r="L248" s="1778" t="s">
        <v>304</v>
      </c>
      <c r="M248" s="278"/>
      <c r="N248" s="271"/>
      <c r="O248" s="1543"/>
      <c r="P248" s="1543"/>
      <c r="AH248" s="1550">
        <v>0</v>
      </c>
    </row>
    <row r="249" spans="1:34" s="2238" customFormat="1" ht="18.75" hidden="1" customHeight="1">
      <c r="A249" s="1698"/>
      <c r="B249" s="1698"/>
      <c r="C249" s="306" t="s">
        <v>1183</v>
      </c>
      <c r="D249" s="2683"/>
      <c r="E249" s="2437"/>
      <c r="F249" s="2580"/>
      <c r="G249" s="2659"/>
      <c r="H249" s="1419"/>
      <c r="I249" s="588" t="s">
        <v>1182</v>
      </c>
      <c r="J249" s="508"/>
      <c r="K249" s="1419"/>
      <c r="L249" s="151"/>
      <c r="M249" s="278"/>
      <c r="N249" s="271"/>
      <c r="O249" s="1543"/>
      <c r="P249" s="1543"/>
      <c r="AH249" s="1550">
        <v>0</v>
      </c>
    </row>
    <row r="250" spans="1:34" s="2238" customFormat="1" ht="0.75" hidden="1" customHeight="1">
      <c r="A250" s="1698"/>
      <c r="B250" s="1698"/>
      <c r="C250" s="306" t="s">
        <v>1190</v>
      </c>
      <c r="D250" s="2683"/>
      <c r="E250" s="2437"/>
      <c r="F250" s="2580"/>
      <c r="G250" s="337"/>
      <c r="H250" s="1419"/>
      <c r="I250" s="588"/>
      <c r="J250" s="508"/>
      <c r="K250" s="1419"/>
      <c r="L250" s="151"/>
      <c r="M250" s="278"/>
      <c r="N250" s="271"/>
      <c r="O250" s="1543"/>
      <c r="P250" s="1543"/>
      <c r="AH250" s="1550">
        <v>0</v>
      </c>
    </row>
    <row r="251" spans="1:34" s="2238" customFormat="1" ht="18.75" hidden="1" customHeight="1">
      <c r="A251" s="1698" t="s">
        <v>248</v>
      </c>
      <c r="B251" s="1698" t="s">
        <v>249</v>
      </c>
      <c r="C251" s="306"/>
      <c r="D251" s="2683"/>
      <c r="E251" s="2437"/>
      <c r="F251" s="2580" t="str">
        <f>INDEX(PT_DIFFERENTIATION_VTAR,MATCH(A251,PT_DIFFERENTIATION_VTAR_ID,0))</f>
        <v>Тариф на горячую воду (горячее водоснабжение)</v>
      </c>
      <c r="G251" s="2659" t="str">
        <f>INDEX(PT_DIFFERENTIATION_NTAR,MATCH(B251,PT_DIFFERENTIATION_NTAR_ID,0))</f>
        <v/>
      </c>
      <c r="H251" s="1778"/>
      <c r="I251" s="1657"/>
      <c r="J251" s="1691"/>
      <c r="K251" s="1696"/>
      <c r="L251" s="1778" t="s">
        <v>304</v>
      </c>
      <c r="M251" s="278"/>
      <c r="N251" s="271"/>
      <c r="O251" s="1543"/>
      <c r="P251" s="1543"/>
      <c r="AH251" s="1550">
        <v>0</v>
      </c>
    </row>
    <row r="252" spans="1:34" s="2238" customFormat="1" ht="18.75" hidden="1" customHeight="1">
      <c r="A252" s="1698"/>
      <c r="B252" s="1698"/>
      <c r="C252" s="306" t="s">
        <v>1183</v>
      </c>
      <c r="D252" s="2683"/>
      <c r="E252" s="2437"/>
      <c r="F252" s="2580"/>
      <c r="G252" s="2659"/>
      <c r="H252" s="1419"/>
      <c r="I252" s="588" t="s">
        <v>1182</v>
      </c>
      <c r="J252" s="508"/>
      <c r="K252" s="1419"/>
      <c r="L252" s="151"/>
      <c r="M252" s="278"/>
      <c r="N252" s="271"/>
      <c r="O252" s="1543"/>
      <c r="P252" s="1543"/>
      <c r="AH252" s="1550">
        <v>0</v>
      </c>
    </row>
    <row r="253" spans="1:34" s="2238" customFormat="1" ht="0.75" hidden="1" customHeight="1">
      <c r="A253" s="1698"/>
      <c r="B253" s="1698"/>
      <c r="C253" s="306" t="s">
        <v>1190</v>
      </c>
      <c r="D253" s="2683"/>
      <c r="E253" s="2437"/>
      <c r="F253" s="2580"/>
      <c r="G253" s="337"/>
      <c r="H253" s="1419"/>
      <c r="I253" s="588"/>
      <c r="J253" s="508"/>
      <c r="K253" s="1419"/>
      <c r="L253" s="151"/>
      <c r="M253" s="278"/>
      <c r="N253" s="271"/>
      <c r="O253" s="1543"/>
      <c r="P253" s="1543"/>
      <c r="AH253" s="1550">
        <v>0</v>
      </c>
    </row>
    <row r="254" spans="1:34" s="2238" customFormat="1" ht="18.75" hidden="1" customHeight="1">
      <c r="A254" s="1698" t="s">
        <v>253</v>
      </c>
      <c r="B254" s="1698" t="s">
        <v>254</v>
      </c>
      <c r="C254" s="306"/>
      <c r="D254" s="2683"/>
      <c r="E254" s="2437"/>
      <c r="F254" s="2580" t="str">
        <f>INDEX(PT_DIFFERENTIATION_VTAR,MATCH(A254,PT_DIFFERENTIATION_VTAR_ID,0))</f>
        <v>Тариф на транспортировку горячей воды</v>
      </c>
      <c r="G254" s="2659" t="str">
        <f>INDEX(PT_DIFFERENTIATION_NTAR,MATCH(B254,PT_DIFFERENTIATION_NTAR_ID,0))</f>
        <v/>
      </c>
      <c r="H254" s="1778"/>
      <c r="I254" s="1657"/>
      <c r="J254" s="1691"/>
      <c r="K254" s="1696"/>
      <c r="L254" s="1778" t="s">
        <v>304</v>
      </c>
      <c r="M254" s="278"/>
      <c r="N254" s="271"/>
      <c r="O254" s="1543"/>
      <c r="P254" s="1543"/>
      <c r="AH254" s="1550">
        <v>0</v>
      </c>
    </row>
    <row r="255" spans="1:34" s="2238" customFormat="1" ht="18.75" hidden="1" customHeight="1">
      <c r="A255" s="1698"/>
      <c r="B255" s="1698"/>
      <c r="C255" s="306" t="s">
        <v>1183</v>
      </c>
      <c r="D255" s="2683"/>
      <c r="E255" s="2437"/>
      <c r="F255" s="2580"/>
      <c r="G255" s="2659"/>
      <c r="H255" s="1419"/>
      <c r="I255" s="588" t="s">
        <v>1182</v>
      </c>
      <c r="J255" s="508"/>
      <c r="K255" s="1419"/>
      <c r="L255" s="151"/>
      <c r="M255" s="278"/>
      <c r="N255" s="271"/>
      <c r="O255" s="1543"/>
      <c r="P255" s="1543"/>
      <c r="AH255" s="1550">
        <v>0</v>
      </c>
    </row>
    <row r="256" spans="1:34" s="2238" customFormat="1" ht="0.75" hidden="1" customHeight="1">
      <c r="A256" s="1698"/>
      <c r="B256" s="1698"/>
      <c r="C256" s="306" t="s">
        <v>1190</v>
      </c>
      <c r="D256" s="2683"/>
      <c r="E256" s="2437"/>
      <c r="F256" s="2580"/>
      <c r="G256" s="337"/>
      <c r="H256" s="1419"/>
      <c r="I256" s="588"/>
      <c r="J256" s="508"/>
      <c r="K256" s="1419"/>
      <c r="L256" s="151"/>
      <c r="M256" s="278"/>
      <c r="N256" s="271"/>
      <c r="O256" s="1543"/>
      <c r="P256" s="1543"/>
      <c r="AH256" s="1550">
        <v>0</v>
      </c>
    </row>
    <row r="257" spans="1:34" s="2238" customFormat="1" ht="18.75" hidden="1" customHeight="1">
      <c r="A257" s="1698" t="s">
        <v>258</v>
      </c>
      <c r="B257" s="1698" t="s">
        <v>259</v>
      </c>
      <c r="C257" s="306"/>
      <c r="D257" s="2683"/>
      <c r="E257" s="2437"/>
      <c r="F257" s="258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659" t="str">
        <f>INDEX(PT_DIFFERENTIATION_NTAR,MATCH(B257,PT_DIFFERENTIATION_NTAR_ID,0))</f>
        <v/>
      </c>
      <c r="H257" s="1778"/>
      <c r="I257" s="1657"/>
      <c r="J257" s="1691"/>
      <c r="K257" s="1696"/>
      <c r="L257" s="1778" t="s">
        <v>304</v>
      </c>
      <c r="M257" s="278"/>
      <c r="N257" s="271"/>
      <c r="O257" s="1543"/>
      <c r="P257" s="1543"/>
      <c r="AH257" s="1550">
        <v>0</v>
      </c>
    </row>
    <row r="258" spans="1:34" s="2238" customFormat="1" ht="18.75" hidden="1" customHeight="1">
      <c r="A258" s="1698"/>
      <c r="B258" s="1698"/>
      <c r="C258" s="306" t="s">
        <v>1183</v>
      </c>
      <c r="D258" s="2683"/>
      <c r="E258" s="2437"/>
      <c r="F258" s="2580"/>
      <c r="G258" s="2659"/>
      <c r="H258" s="1419"/>
      <c r="I258" s="588" t="s">
        <v>1182</v>
      </c>
      <c r="J258" s="508"/>
      <c r="K258" s="1419"/>
      <c r="L258" s="151"/>
      <c r="M258" s="278"/>
      <c r="N258" s="271"/>
      <c r="O258" s="1543"/>
      <c r="P258" s="1543"/>
      <c r="AH258" s="1550">
        <v>0</v>
      </c>
    </row>
    <row r="259" spans="1:34" s="2238" customFormat="1" ht="0.75" hidden="1" customHeight="1">
      <c r="A259" s="1698"/>
      <c r="B259" s="1698"/>
      <c r="C259" s="306" t="s">
        <v>1190</v>
      </c>
      <c r="D259" s="2683"/>
      <c r="E259" s="2437"/>
      <c r="F259" s="2580"/>
      <c r="G259" s="337"/>
      <c r="H259" s="1419"/>
      <c r="I259" s="588"/>
      <c r="J259" s="508"/>
      <c r="K259" s="1419"/>
      <c r="L259" s="151"/>
      <c r="M259" s="278"/>
      <c r="N259" s="271"/>
      <c r="O259" s="1543"/>
      <c r="P259" s="1543"/>
      <c r="AH259" s="1550">
        <v>0</v>
      </c>
    </row>
    <row r="260" spans="1:34" s="2238" customFormat="1" ht="18.75" hidden="1" customHeight="1">
      <c r="A260" s="1698" t="s">
        <v>263</v>
      </c>
      <c r="B260" s="1698" t="s">
        <v>264</v>
      </c>
      <c r="C260" s="306"/>
      <c r="D260" s="2683"/>
      <c r="E260" s="2437"/>
      <c r="F260" s="2580" t="str">
        <f>INDEX(PT_DIFFERENTIATION_VTAR,MATCH(A260,PT_DIFFERENTIATION_VTAR_ID,0))</f>
        <v>Тариф на водоотведение</v>
      </c>
      <c r="G260" s="2659" t="str">
        <f>INDEX(PT_DIFFERENTIATION_NTAR,MATCH(B260,PT_DIFFERENTIATION_NTAR_ID,0))</f>
        <v/>
      </c>
      <c r="H260" s="1778"/>
      <c r="I260" s="1657"/>
      <c r="J260" s="1691"/>
      <c r="K260" s="1696"/>
      <c r="L260" s="1778" t="s">
        <v>304</v>
      </c>
      <c r="M260" s="278"/>
      <c r="N260" s="271"/>
      <c r="O260" s="1543"/>
      <c r="P260" s="1543"/>
      <c r="AH260" s="1550">
        <v>0</v>
      </c>
    </row>
    <row r="261" spans="1:34" s="2238" customFormat="1" ht="18.75" hidden="1" customHeight="1">
      <c r="A261" s="1698"/>
      <c r="B261" s="1698"/>
      <c r="C261" s="306" t="s">
        <v>1183</v>
      </c>
      <c r="D261" s="2683"/>
      <c r="E261" s="2437"/>
      <c r="F261" s="2580"/>
      <c r="G261" s="2659"/>
      <c r="H261" s="1419"/>
      <c r="I261" s="588" t="s">
        <v>1182</v>
      </c>
      <c r="J261" s="508"/>
      <c r="K261" s="1419"/>
      <c r="L261" s="151"/>
      <c r="M261" s="278"/>
      <c r="N261" s="271"/>
      <c r="O261" s="1543"/>
      <c r="P261" s="1543"/>
      <c r="AH261" s="1550">
        <v>0</v>
      </c>
    </row>
    <row r="262" spans="1:34" s="2238" customFormat="1" ht="0.75" hidden="1" customHeight="1">
      <c r="A262" s="1698"/>
      <c r="B262" s="1698"/>
      <c r="C262" s="306" t="s">
        <v>1190</v>
      </c>
      <c r="D262" s="2683"/>
      <c r="E262" s="2437"/>
      <c r="F262" s="2580"/>
      <c r="G262" s="337"/>
      <c r="H262" s="1419"/>
      <c r="I262" s="588"/>
      <c r="J262" s="508"/>
      <c r="K262" s="1419"/>
      <c r="L262" s="151"/>
      <c r="M262" s="278"/>
      <c r="N262" s="271"/>
      <c r="O262" s="1543"/>
      <c r="P262" s="1543"/>
      <c r="AH262" s="1550">
        <v>0</v>
      </c>
    </row>
    <row r="263" spans="1:34" s="2238" customFormat="1" ht="18.75" hidden="1" customHeight="1">
      <c r="A263" s="1698" t="s">
        <v>268</v>
      </c>
      <c r="B263" s="1698" t="s">
        <v>269</v>
      </c>
      <c r="C263" s="306"/>
      <c r="D263" s="2683"/>
      <c r="E263" s="2437"/>
      <c r="F263" s="2580" t="str">
        <f>INDEX(PT_DIFFERENTIATION_VTAR,MATCH(A263,PT_DIFFERENTIATION_VTAR_ID,0))</f>
        <v>Тариф на транспортировку сточных вод</v>
      </c>
      <c r="G263" s="2659" t="str">
        <f>INDEX(PT_DIFFERENTIATION_NTAR,MATCH(B263,PT_DIFFERENTIATION_NTAR_ID,0))</f>
        <v/>
      </c>
      <c r="H263" s="1778"/>
      <c r="I263" s="1657"/>
      <c r="J263" s="1691"/>
      <c r="K263" s="1696"/>
      <c r="L263" s="1778" t="s">
        <v>304</v>
      </c>
      <c r="M263" s="278"/>
      <c r="N263" s="271"/>
      <c r="O263" s="1543"/>
      <c r="P263" s="1543"/>
      <c r="AH263" s="1550">
        <v>0</v>
      </c>
    </row>
    <row r="264" spans="1:34" s="2238" customFormat="1" ht="18.75" hidden="1" customHeight="1">
      <c r="A264" s="1698"/>
      <c r="B264" s="1698"/>
      <c r="C264" s="306" t="s">
        <v>1183</v>
      </c>
      <c r="D264" s="2683"/>
      <c r="E264" s="2437"/>
      <c r="F264" s="2580"/>
      <c r="G264" s="2659"/>
      <c r="H264" s="1419"/>
      <c r="I264" s="588" t="s">
        <v>1182</v>
      </c>
      <c r="J264" s="508"/>
      <c r="K264" s="1419"/>
      <c r="L264" s="151"/>
      <c r="M264" s="278"/>
      <c r="N264" s="271"/>
      <c r="O264" s="1543"/>
      <c r="P264" s="1543"/>
      <c r="AH264" s="1550">
        <v>0</v>
      </c>
    </row>
    <row r="265" spans="1:34" s="2238" customFormat="1" ht="0.75" hidden="1" customHeight="1">
      <c r="A265" s="1698"/>
      <c r="B265" s="1698"/>
      <c r="C265" s="306" t="s">
        <v>1190</v>
      </c>
      <c r="D265" s="2683"/>
      <c r="E265" s="2437"/>
      <c r="F265" s="2580"/>
      <c r="G265" s="337"/>
      <c r="H265" s="1419"/>
      <c r="I265" s="588"/>
      <c r="J265" s="508"/>
      <c r="K265" s="1419"/>
      <c r="L265" s="151"/>
      <c r="M265" s="278"/>
      <c r="N265" s="271"/>
      <c r="O265" s="1543"/>
      <c r="P265" s="1543"/>
      <c r="AH265" s="1550">
        <v>0</v>
      </c>
    </row>
    <row r="266" spans="1:34" s="2238" customFormat="1" ht="18.75" hidden="1" customHeight="1">
      <c r="A266" s="1698" t="s">
        <v>273</v>
      </c>
      <c r="B266" s="1698" t="s">
        <v>274</v>
      </c>
      <c r="C266" s="306"/>
      <c r="D266" s="2683"/>
      <c r="E266" s="2437"/>
      <c r="F266" s="2580" t="str">
        <f>INDEX(PT_DIFFERENTIATION_VTAR,MATCH(A266,PT_DIFFERENTIATION_VTAR_ID,0))</f>
        <v>Тариф на подключение (технологическое присоединение) к централизованной системе водоотведения</v>
      </c>
      <c r="G266" s="2659" t="str">
        <f>INDEX(PT_DIFFERENTIATION_NTAR,MATCH(B266,PT_DIFFERENTIATION_NTAR_ID,0))</f>
        <v/>
      </c>
      <c r="H266" s="1778"/>
      <c r="I266" s="1657"/>
      <c r="J266" s="1691"/>
      <c r="K266" s="1696"/>
      <c r="L266" s="1778" t="s">
        <v>304</v>
      </c>
      <c r="M266" s="278"/>
      <c r="N266" s="271"/>
      <c r="O266" s="1543"/>
      <c r="P266" s="1543"/>
      <c r="AH266" s="1550">
        <v>0</v>
      </c>
    </row>
    <row r="267" spans="1:34" s="2238" customFormat="1" ht="18.75" hidden="1" customHeight="1">
      <c r="A267" s="1698"/>
      <c r="B267" s="1698"/>
      <c r="C267" s="306" t="s">
        <v>1183</v>
      </c>
      <c r="D267" s="2683"/>
      <c r="E267" s="2437"/>
      <c r="F267" s="2580"/>
      <c r="G267" s="2659"/>
      <c r="H267" s="1419"/>
      <c r="I267" s="588" t="s">
        <v>1182</v>
      </c>
      <c r="J267" s="508"/>
      <c r="K267" s="1419"/>
      <c r="L267" s="151"/>
      <c r="M267" s="278"/>
      <c r="N267" s="271"/>
      <c r="O267" s="1543"/>
      <c r="P267" s="1543"/>
      <c r="AH267" s="1550">
        <v>0</v>
      </c>
    </row>
    <row r="268" spans="1:34" s="2238" customFormat="1" ht="1.1499999999999999" customHeight="1">
      <c r="A268" s="1698"/>
      <c r="B268" s="1698"/>
      <c r="C268" s="306" t="s">
        <v>1190</v>
      </c>
      <c r="D268" s="2683"/>
      <c r="E268" s="2437"/>
      <c r="F268" s="2580"/>
      <c r="G268" s="337"/>
      <c r="H268" s="1419"/>
      <c r="I268" s="588"/>
      <c r="J268" s="508"/>
      <c r="K268" s="1419"/>
      <c r="L268" s="151"/>
      <c r="M268" s="278"/>
      <c r="N268" s="271"/>
      <c r="O268" s="1543"/>
      <c r="P268" s="1543"/>
      <c r="AH268" s="1550">
        <v>1</v>
      </c>
    </row>
    <row r="269" spans="1:34" ht="27.4" customHeight="1">
      <c r="A269" s="1698"/>
      <c r="B269" s="1698"/>
      <c r="D269" s="313"/>
      <c r="E269" s="85" t="s">
        <v>91</v>
      </c>
      <c r="F269" s="268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682"/>
      <c r="H269" s="2682"/>
      <c r="I269" s="2682"/>
      <c r="J269" s="2682"/>
      <c r="K269" s="2682"/>
      <c r="L269" s="2682"/>
      <c r="M269" s="234"/>
      <c r="N269" s="271"/>
      <c r="AH269" s="311">
        <v>26</v>
      </c>
    </row>
    <row r="270" spans="1:34" s="2238" customFormat="1" ht="60.75" hidden="1" customHeight="1">
      <c r="A270" s="1698" t="s">
        <v>155</v>
      </c>
      <c r="B270" s="1698" t="s">
        <v>156</v>
      </c>
      <c r="C270" s="306"/>
      <c r="D270" s="2683"/>
      <c r="E270" s="2437"/>
      <c r="F270" s="258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659" t="str">
        <f>INDEX(PT_DIFFERENTIATION_NTAR,MATCH(B270,PT_DIFFERENTIATION_NTAR_ID,0))</f>
        <v/>
      </c>
      <c r="H270" s="1778"/>
      <c r="I270" s="1657"/>
      <c r="J270" s="1691"/>
      <c r="K270" s="1696"/>
      <c r="L270" s="1778" t="s">
        <v>304</v>
      </c>
      <c r="M270" s="240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3"/>
      <c r="P270" s="1543"/>
      <c r="AH270" s="1550">
        <v>0</v>
      </c>
    </row>
    <row r="271" spans="1:34" s="2238" customFormat="1" ht="18.75" hidden="1" customHeight="1">
      <c r="A271" s="1698"/>
      <c r="B271" s="1698"/>
      <c r="C271" s="306" t="s">
        <v>1183</v>
      </c>
      <c r="D271" s="2683"/>
      <c r="E271" s="2437"/>
      <c r="F271" s="2580"/>
      <c r="G271" s="2659"/>
      <c r="H271" s="1419"/>
      <c r="I271" s="588" t="s">
        <v>1182</v>
      </c>
      <c r="J271" s="508"/>
      <c r="K271" s="1419"/>
      <c r="L271" s="151"/>
      <c r="M271" s="2406"/>
      <c r="N271" s="271"/>
      <c r="O271" s="1543"/>
      <c r="P271" s="1543"/>
      <c r="AH271" s="1550">
        <v>0</v>
      </c>
    </row>
    <row r="272" spans="1:34" s="2238" customFormat="1" ht="0.75" hidden="1" customHeight="1">
      <c r="A272" s="1698"/>
      <c r="B272" s="1698"/>
      <c r="C272" s="306" t="s">
        <v>1190</v>
      </c>
      <c r="D272" s="2683"/>
      <c r="E272" s="2437"/>
      <c r="F272" s="2580"/>
      <c r="G272" s="337"/>
      <c r="H272" s="1419"/>
      <c r="I272" s="588"/>
      <c r="J272" s="508"/>
      <c r="K272" s="1419"/>
      <c r="L272" s="151"/>
      <c r="M272" s="2406"/>
      <c r="N272" s="271"/>
      <c r="O272" s="1543"/>
      <c r="P272" s="1543"/>
      <c r="AH272" s="1550">
        <v>0</v>
      </c>
    </row>
    <row r="273" spans="1:34" s="2238" customFormat="1" ht="45" hidden="1" customHeight="1">
      <c r="A273" s="1698" t="s">
        <v>160</v>
      </c>
      <c r="B273" s="1698" t="s">
        <v>161</v>
      </c>
      <c r="C273" s="306"/>
      <c r="D273" s="2683"/>
      <c r="E273" s="2437"/>
      <c r="F273" s="2580" t="str">
        <f>INDEX(PT_DIFFERENTIATION_VTAR,MATCH(A273,PT_DIFFERENTIATION_VTAR_ID,0))</f>
        <v/>
      </c>
      <c r="G273" s="2659" t="str">
        <f>INDEX(PT_DIFFERENTIATION_NTAR,MATCH(B273,PT_DIFFERENTIATION_NTAR_ID,0))</f>
        <v/>
      </c>
      <c r="H273" s="1778"/>
      <c r="I273" s="1657"/>
      <c r="J273" s="1691"/>
      <c r="K273" s="1696"/>
      <c r="L273" s="1778" t="s">
        <v>304</v>
      </c>
      <c r="M273" s="2407"/>
      <c r="N273" s="271"/>
      <c r="O273" s="1543"/>
      <c r="P273" s="1543"/>
      <c r="AH273" s="1550">
        <v>0</v>
      </c>
    </row>
    <row r="274" spans="1:34" s="2238" customFormat="1" ht="18.75" hidden="1" customHeight="1">
      <c r="A274" s="1698"/>
      <c r="B274" s="1698"/>
      <c r="C274" s="306" t="s">
        <v>1183</v>
      </c>
      <c r="D274" s="2683"/>
      <c r="E274" s="2437"/>
      <c r="F274" s="2580"/>
      <c r="G274" s="2659"/>
      <c r="H274" s="1419"/>
      <c r="I274" s="588" t="s">
        <v>1182</v>
      </c>
      <c r="J274" s="508"/>
      <c r="K274" s="1419"/>
      <c r="L274" s="151"/>
      <c r="M274" s="1777"/>
      <c r="N274" s="271"/>
      <c r="O274" s="1543"/>
      <c r="P274" s="1543"/>
      <c r="AH274" s="1550">
        <v>0</v>
      </c>
    </row>
    <row r="275" spans="1:34" s="2238" customFormat="1" ht="0.75" hidden="1" customHeight="1">
      <c r="A275" s="1698"/>
      <c r="B275" s="1698"/>
      <c r="C275" s="306" t="s">
        <v>1190</v>
      </c>
      <c r="D275" s="2683"/>
      <c r="E275" s="2437"/>
      <c r="F275" s="2580"/>
      <c r="G275" s="337"/>
      <c r="H275" s="1419"/>
      <c r="I275" s="588"/>
      <c r="J275" s="508"/>
      <c r="K275" s="1419"/>
      <c r="L275" s="151"/>
      <c r="M275" s="278"/>
      <c r="N275" s="271"/>
      <c r="O275" s="1543"/>
      <c r="P275" s="1543"/>
      <c r="AH275" s="1550">
        <v>0</v>
      </c>
    </row>
    <row r="276" spans="1:34" s="2238" customFormat="1" ht="45" hidden="1" customHeight="1">
      <c r="A276" s="1698" t="s">
        <v>167</v>
      </c>
      <c r="B276" s="1698" t="s">
        <v>168</v>
      </c>
      <c r="C276" s="306"/>
      <c r="D276" s="2683"/>
      <c r="E276" s="2437"/>
      <c r="F276" s="258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659" t="str">
        <f>INDEX(PT_DIFFERENTIATION_NTAR,MATCH(B276,PT_DIFFERENTIATION_NTAR_ID,0))</f>
        <v/>
      </c>
      <c r="H276" s="1778"/>
      <c r="I276" s="1657"/>
      <c r="J276" s="1691"/>
      <c r="K276" s="1696"/>
      <c r="L276" s="1778" t="s">
        <v>304</v>
      </c>
      <c r="M276" s="278"/>
      <c r="N276" s="271"/>
      <c r="O276" s="1543"/>
      <c r="P276" s="1543"/>
      <c r="AH276" s="1550">
        <v>0</v>
      </c>
    </row>
    <row r="277" spans="1:34" s="2238" customFormat="1" ht="18.75" hidden="1" customHeight="1">
      <c r="A277" s="1698"/>
      <c r="B277" s="1698"/>
      <c r="C277" s="306" t="s">
        <v>1183</v>
      </c>
      <c r="D277" s="2683"/>
      <c r="E277" s="2437"/>
      <c r="F277" s="2580"/>
      <c r="G277" s="2659"/>
      <c r="H277" s="1419"/>
      <c r="I277" s="588" t="s">
        <v>1182</v>
      </c>
      <c r="J277" s="508"/>
      <c r="K277" s="1419"/>
      <c r="L277" s="151"/>
      <c r="M277" s="278"/>
      <c r="N277" s="271"/>
      <c r="O277" s="1543"/>
      <c r="P277" s="1543"/>
      <c r="AH277" s="1550">
        <v>0</v>
      </c>
    </row>
    <row r="278" spans="1:34" s="2238" customFormat="1" ht="0.75" hidden="1" customHeight="1">
      <c r="A278" s="1698"/>
      <c r="B278" s="1698"/>
      <c r="C278" s="306" t="s">
        <v>1190</v>
      </c>
      <c r="D278" s="2683"/>
      <c r="E278" s="2437"/>
      <c r="F278" s="2580"/>
      <c r="G278" s="337"/>
      <c r="H278" s="1419"/>
      <c r="I278" s="588"/>
      <c r="J278" s="508"/>
      <c r="K278" s="1419"/>
      <c r="L278" s="151"/>
      <c r="M278" s="278"/>
      <c r="N278" s="271"/>
      <c r="O278" s="1543"/>
      <c r="P278" s="1543"/>
      <c r="AH278" s="1550">
        <v>0</v>
      </c>
    </row>
    <row r="279" spans="1:34" s="2238" customFormat="1" ht="45" hidden="1" customHeight="1">
      <c r="A279" s="1698" t="s">
        <v>173</v>
      </c>
      <c r="B279" s="1698" t="s">
        <v>174</v>
      </c>
      <c r="C279" s="306"/>
      <c r="D279" s="2683"/>
      <c r="E279" s="2437"/>
      <c r="F279" s="258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659" t="str">
        <f>INDEX(PT_DIFFERENTIATION_NTAR,MATCH(B279,PT_DIFFERENTIATION_NTAR_ID,0))</f>
        <v/>
      </c>
      <c r="H279" s="1778"/>
      <c r="I279" s="1657"/>
      <c r="J279" s="1691"/>
      <c r="K279" s="1696"/>
      <c r="L279" s="1778" t="s">
        <v>304</v>
      </c>
      <c r="M279" s="278"/>
      <c r="N279" s="271"/>
      <c r="O279" s="1543"/>
      <c r="P279" s="1543"/>
      <c r="AH279" s="1550">
        <v>0</v>
      </c>
    </row>
    <row r="280" spans="1:34" s="2238" customFormat="1" ht="18.75" hidden="1" customHeight="1">
      <c r="A280" s="1698"/>
      <c r="B280" s="1698"/>
      <c r="C280" s="306" t="s">
        <v>1183</v>
      </c>
      <c r="D280" s="2683"/>
      <c r="E280" s="2437"/>
      <c r="F280" s="2580"/>
      <c r="G280" s="2659"/>
      <c r="H280" s="1419"/>
      <c r="I280" s="588" t="s">
        <v>1182</v>
      </c>
      <c r="J280" s="508"/>
      <c r="K280" s="1419"/>
      <c r="L280" s="151"/>
      <c r="M280" s="278"/>
      <c r="N280" s="271"/>
      <c r="O280" s="1543"/>
      <c r="P280" s="1543"/>
      <c r="AH280" s="1550">
        <v>0</v>
      </c>
    </row>
    <row r="281" spans="1:34" s="2238" customFormat="1" ht="0.75" hidden="1" customHeight="1">
      <c r="A281" s="1698"/>
      <c r="B281" s="1698"/>
      <c r="C281" s="306" t="s">
        <v>1190</v>
      </c>
      <c r="D281" s="2683"/>
      <c r="E281" s="2437"/>
      <c r="F281" s="2580"/>
      <c r="G281" s="337"/>
      <c r="H281" s="1419"/>
      <c r="I281" s="588"/>
      <c r="J281" s="508"/>
      <c r="K281" s="1419"/>
      <c r="L281" s="151"/>
      <c r="M281" s="278"/>
      <c r="N281" s="271"/>
      <c r="O281" s="1543"/>
      <c r="P281" s="1543"/>
      <c r="AH281" s="1550">
        <v>0</v>
      </c>
    </row>
    <row r="282" spans="1:34" s="2238" customFormat="1" ht="18.75" hidden="1" customHeight="1">
      <c r="A282" s="1698" t="s">
        <v>179</v>
      </c>
      <c r="B282" s="1698" t="s">
        <v>180</v>
      </c>
      <c r="C282" s="306"/>
      <c r="D282" s="2683"/>
      <c r="E282" s="2437"/>
      <c r="F282" s="2580" t="str">
        <f>INDEX(PT_DIFFERENTIATION_VTAR,MATCH(A282,PT_DIFFERENTIATION_VTAR_ID,0))</f>
        <v>Тарифы на услуги по передаче тепловой энергии</v>
      </c>
      <c r="G282" s="2659" t="str">
        <f>INDEX(PT_DIFFERENTIATION_NTAR,MATCH(B282,PT_DIFFERENTIATION_NTAR_ID,0))</f>
        <v/>
      </c>
      <c r="H282" s="1778"/>
      <c r="I282" s="1657"/>
      <c r="J282" s="1691"/>
      <c r="K282" s="1696"/>
      <c r="L282" s="1778" t="s">
        <v>304</v>
      </c>
      <c r="M282" s="278"/>
      <c r="N282" s="271"/>
      <c r="O282" s="1543"/>
      <c r="P282" s="1543"/>
      <c r="AH282" s="1550">
        <v>0</v>
      </c>
    </row>
    <row r="283" spans="1:34" s="2238" customFormat="1" ht="18.75" hidden="1" customHeight="1">
      <c r="A283" s="1698"/>
      <c r="B283" s="1698"/>
      <c r="C283" s="306" t="s">
        <v>1183</v>
      </c>
      <c r="D283" s="2683"/>
      <c r="E283" s="2437"/>
      <c r="F283" s="2580"/>
      <c r="G283" s="2659"/>
      <c r="H283" s="1419"/>
      <c r="I283" s="588" t="s">
        <v>1182</v>
      </c>
      <c r="J283" s="508"/>
      <c r="K283" s="1419"/>
      <c r="L283" s="151"/>
      <c r="M283" s="278"/>
      <c r="N283" s="271"/>
      <c r="O283" s="1543"/>
      <c r="P283" s="1543"/>
      <c r="AH283" s="1550">
        <v>0</v>
      </c>
    </row>
    <row r="284" spans="1:34" s="2238" customFormat="1" ht="0.75" hidden="1" customHeight="1">
      <c r="A284" s="1698"/>
      <c r="B284" s="1698"/>
      <c r="C284" s="306" t="s">
        <v>1190</v>
      </c>
      <c r="D284" s="2683"/>
      <c r="E284" s="2437"/>
      <c r="F284" s="2580"/>
      <c r="G284" s="337"/>
      <c r="H284" s="1419"/>
      <c r="I284" s="588"/>
      <c r="J284" s="508"/>
      <c r="K284" s="1419"/>
      <c r="L284" s="151"/>
      <c r="M284" s="278"/>
      <c r="N284" s="271"/>
      <c r="O284" s="1543"/>
      <c r="P284" s="1543"/>
      <c r="AH284" s="1550">
        <v>0</v>
      </c>
    </row>
    <row r="285" spans="1:34" s="2238" customFormat="1" ht="18.75" hidden="1" customHeight="1">
      <c r="A285" s="1698" t="s">
        <v>185</v>
      </c>
      <c r="B285" s="1698" t="s">
        <v>186</v>
      </c>
      <c r="C285" s="306"/>
      <c r="D285" s="2683"/>
      <c r="E285" s="2437"/>
      <c r="F285" s="2580" t="str">
        <f>INDEX(PT_DIFFERENTIATION_VTAR,MATCH(A285,PT_DIFFERENTIATION_VTAR_ID,0))</f>
        <v>Тарифы на услуги по передаче теплоносителя</v>
      </c>
      <c r="G285" s="2659" t="str">
        <f>INDEX(PT_DIFFERENTIATION_NTAR,MATCH(B285,PT_DIFFERENTIATION_NTAR_ID,0))</f>
        <v/>
      </c>
      <c r="H285" s="1778"/>
      <c r="I285" s="1657"/>
      <c r="J285" s="1691"/>
      <c r="K285" s="1696"/>
      <c r="L285" s="1778" t="s">
        <v>304</v>
      </c>
      <c r="M285" s="278"/>
      <c r="N285" s="271"/>
      <c r="O285" s="1543"/>
      <c r="P285" s="1543"/>
      <c r="AH285" s="1550">
        <v>0</v>
      </c>
    </row>
    <row r="286" spans="1:34" s="2238" customFormat="1" ht="18.75" hidden="1" customHeight="1">
      <c r="A286" s="1698"/>
      <c r="B286" s="1698"/>
      <c r="C286" s="306" t="s">
        <v>1183</v>
      </c>
      <c r="D286" s="2683"/>
      <c r="E286" s="2437"/>
      <c r="F286" s="2580"/>
      <c r="G286" s="2659"/>
      <c r="H286" s="1419"/>
      <c r="I286" s="588" t="s">
        <v>1182</v>
      </c>
      <c r="J286" s="508"/>
      <c r="K286" s="1419"/>
      <c r="L286" s="151"/>
      <c r="M286" s="278"/>
      <c r="N286" s="271"/>
      <c r="O286" s="1543"/>
      <c r="P286" s="1543"/>
      <c r="AH286" s="1550">
        <v>0</v>
      </c>
    </row>
    <row r="287" spans="1:34" s="2238" customFormat="1" ht="0.75" hidden="1" customHeight="1">
      <c r="A287" s="1698"/>
      <c r="B287" s="1698"/>
      <c r="C287" s="306" t="s">
        <v>1190</v>
      </c>
      <c r="D287" s="2683"/>
      <c r="E287" s="2437"/>
      <c r="F287" s="2580"/>
      <c r="G287" s="337"/>
      <c r="H287" s="1419"/>
      <c r="I287" s="588"/>
      <c r="J287" s="508"/>
      <c r="K287" s="1419"/>
      <c r="L287" s="151"/>
      <c r="M287" s="278"/>
      <c r="N287" s="271"/>
      <c r="O287" s="1543"/>
      <c r="P287" s="1543"/>
      <c r="AH287" s="1550">
        <v>0</v>
      </c>
    </row>
    <row r="288" spans="1:34" s="2238" customFormat="1" ht="18.75" hidden="1" customHeight="1">
      <c r="A288" s="1698" t="s">
        <v>191</v>
      </c>
      <c r="B288" s="1698" t="s">
        <v>192</v>
      </c>
      <c r="C288" s="306"/>
      <c r="D288" s="2683"/>
      <c r="E288" s="2437"/>
      <c r="F288" s="258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659" t="str">
        <f>INDEX(PT_DIFFERENTIATION_NTAR,MATCH(B288,PT_DIFFERENTIATION_NTAR_ID,0))</f>
        <v/>
      </c>
      <c r="H288" s="1778"/>
      <c r="I288" s="1657"/>
      <c r="J288" s="1691"/>
      <c r="K288" s="1696"/>
      <c r="L288" s="1778" t="s">
        <v>304</v>
      </c>
      <c r="M288" s="278"/>
      <c r="N288" s="271"/>
      <c r="O288" s="1543"/>
      <c r="P288" s="1543"/>
      <c r="AH288" s="1550">
        <v>0</v>
      </c>
    </row>
    <row r="289" spans="1:34" s="2238" customFormat="1" ht="18.75" hidden="1" customHeight="1">
      <c r="A289" s="1698"/>
      <c r="B289" s="1698"/>
      <c r="C289" s="306" t="s">
        <v>1183</v>
      </c>
      <c r="D289" s="2683"/>
      <c r="E289" s="2437"/>
      <c r="F289" s="2580"/>
      <c r="G289" s="2659"/>
      <c r="H289" s="1419"/>
      <c r="I289" s="588" t="s">
        <v>1182</v>
      </c>
      <c r="J289" s="508"/>
      <c r="K289" s="1419"/>
      <c r="L289" s="151"/>
      <c r="M289" s="278"/>
      <c r="N289" s="271"/>
      <c r="O289" s="1543"/>
      <c r="P289" s="1543"/>
      <c r="AH289" s="1550">
        <v>0</v>
      </c>
    </row>
    <row r="290" spans="1:34" s="2238" customFormat="1" ht="0.75" hidden="1" customHeight="1">
      <c r="A290" s="1698"/>
      <c r="B290" s="1698"/>
      <c r="C290" s="306" t="s">
        <v>1190</v>
      </c>
      <c r="D290" s="2683"/>
      <c r="E290" s="2437"/>
      <c r="F290" s="2580"/>
      <c r="G290" s="337"/>
      <c r="H290" s="1419"/>
      <c r="I290" s="588"/>
      <c r="J290" s="508"/>
      <c r="K290" s="1419"/>
      <c r="L290" s="151"/>
      <c r="M290" s="278"/>
      <c r="N290" s="271"/>
      <c r="O290" s="1543"/>
      <c r="P290" s="1543"/>
      <c r="AH290" s="1550">
        <v>0</v>
      </c>
    </row>
    <row r="291" spans="1:34" s="2238" customFormat="1" ht="18.75" hidden="1" customHeight="1">
      <c r="A291" s="1698" t="s">
        <v>197</v>
      </c>
      <c r="B291" s="1698" t="s">
        <v>198</v>
      </c>
      <c r="C291" s="306"/>
      <c r="D291" s="2683"/>
      <c r="E291" s="2437"/>
      <c r="F291" s="2580" t="str">
        <f>INDEX(PT_DIFFERENTIATION_VTAR,MATCH(A291,PT_DIFFERENTIATION_VTAR_ID,0))</f>
        <v>Плата за подключение (технологическое присоединение) к системе теплоснабжения</v>
      </c>
      <c r="G291" s="2659" t="str">
        <f>INDEX(PT_DIFFERENTIATION_NTAR,MATCH(B291,PT_DIFFERENTIATION_NTAR_ID,0))</f>
        <v/>
      </c>
      <c r="H291" s="1778"/>
      <c r="I291" s="1657"/>
      <c r="J291" s="1691"/>
      <c r="K291" s="1696"/>
      <c r="L291" s="1778" t="s">
        <v>304</v>
      </c>
      <c r="M291" s="278"/>
      <c r="N291" s="271"/>
      <c r="O291" s="1543"/>
      <c r="P291" s="1543"/>
      <c r="AH291" s="1550">
        <v>0</v>
      </c>
    </row>
    <row r="292" spans="1:34" s="2238" customFormat="1" ht="18.75" hidden="1" customHeight="1">
      <c r="A292" s="1698"/>
      <c r="B292" s="1698"/>
      <c r="C292" s="306" t="s">
        <v>1183</v>
      </c>
      <c r="D292" s="2683"/>
      <c r="E292" s="2437"/>
      <c r="F292" s="2580"/>
      <c r="G292" s="2659"/>
      <c r="H292" s="1419"/>
      <c r="I292" s="588" t="s">
        <v>1182</v>
      </c>
      <c r="J292" s="508"/>
      <c r="K292" s="1419"/>
      <c r="L292" s="151"/>
      <c r="M292" s="278"/>
      <c r="N292" s="271"/>
      <c r="O292" s="1543"/>
      <c r="P292" s="1543"/>
      <c r="AH292" s="1550">
        <v>0</v>
      </c>
    </row>
    <row r="293" spans="1:34" s="2238" customFormat="1" ht="0.75" hidden="1" customHeight="1">
      <c r="A293" s="1698"/>
      <c r="B293" s="1698"/>
      <c r="C293" s="306" t="s">
        <v>1190</v>
      </c>
      <c r="D293" s="2683"/>
      <c r="E293" s="2437"/>
      <c r="F293" s="2580"/>
      <c r="G293" s="337"/>
      <c r="H293" s="1419"/>
      <c r="I293" s="588"/>
      <c r="J293" s="508"/>
      <c r="K293" s="1419"/>
      <c r="L293" s="151"/>
      <c r="M293" s="278"/>
      <c r="N293" s="271"/>
      <c r="O293" s="1543"/>
      <c r="P293" s="1543"/>
      <c r="AH293" s="1550">
        <v>0</v>
      </c>
    </row>
    <row r="294" spans="1:34" s="2238" customFormat="1" ht="18.75" hidden="1" customHeight="1">
      <c r="A294" s="1698" t="s">
        <v>203</v>
      </c>
      <c r="B294" s="1698" t="s">
        <v>204</v>
      </c>
      <c r="C294" s="306"/>
      <c r="D294" s="2683"/>
      <c r="E294" s="2437"/>
      <c r="F294" s="2580" t="str">
        <f>INDEX(PT_DIFFERENTIATION_VTAR,MATCH(A294,PT_DIFFERENTIATION_VTAR_ID,0))</f>
        <v>Плата за подключение (технологическое присоединение) к системе теплоснабжения (индивидуальная)</v>
      </c>
      <c r="G294" s="2659" t="str">
        <f>INDEX(PT_DIFFERENTIATION_NTAR,MATCH(B294,PT_DIFFERENTIATION_NTAR_ID,0))</f>
        <v/>
      </c>
      <c r="H294" s="1902"/>
      <c r="I294" s="1657"/>
      <c r="J294" s="1691"/>
      <c r="K294" s="1696"/>
      <c r="L294" s="1902" t="s">
        <v>304</v>
      </c>
      <c r="M294" s="278"/>
      <c r="N294" s="271"/>
      <c r="O294" s="1543"/>
      <c r="P294" s="1543"/>
      <c r="AH294" s="1550">
        <v>0</v>
      </c>
    </row>
    <row r="295" spans="1:34" s="2238" customFormat="1" ht="18.75" hidden="1" customHeight="1">
      <c r="A295" s="1698"/>
      <c r="B295" s="1698"/>
      <c r="C295" s="306" t="s">
        <v>1183</v>
      </c>
      <c r="D295" s="2683"/>
      <c r="E295" s="2437"/>
      <c r="F295" s="2580"/>
      <c r="G295" s="2659"/>
      <c r="H295" s="1419"/>
      <c r="I295" s="588" t="s">
        <v>1182</v>
      </c>
      <c r="J295" s="508"/>
      <c r="K295" s="1419"/>
      <c r="L295" s="151"/>
      <c r="M295" s="278"/>
      <c r="N295" s="271"/>
      <c r="O295" s="1543"/>
      <c r="P295" s="1543"/>
      <c r="AH295" s="1550">
        <v>0</v>
      </c>
    </row>
    <row r="296" spans="1:34" s="2238" customFormat="1" ht="0.75" hidden="1" customHeight="1">
      <c r="A296" s="1698"/>
      <c r="B296" s="1698"/>
      <c r="C296" s="306" t="s">
        <v>1190</v>
      </c>
      <c r="D296" s="2683"/>
      <c r="E296" s="2437"/>
      <c r="F296" s="2580"/>
      <c r="G296" s="337"/>
      <c r="H296" s="1419"/>
      <c r="I296" s="588"/>
      <c r="J296" s="508"/>
      <c r="K296" s="1419"/>
      <c r="L296" s="151"/>
      <c r="M296" s="278"/>
      <c r="N296" s="271"/>
      <c r="O296" s="1543"/>
      <c r="P296" s="1543"/>
      <c r="AH296" s="1550">
        <v>0</v>
      </c>
    </row>
    <row r="297" spans="1:34" s="2238" customFormat="1" ht="18.75" hidden="1" customHeight="1">
      <c r="A297" s="1698" t="s">
        <v>223</v>
      </c>
      <c r="B297" s="1698" t="s">
        <v>224</v>
      </c>
      <c r="C297" s="306"/>
      <c r="D297" s="2683"/>
      <c r="E297" s="2437"/>
      <c r="F297" s="2580" t="str">
        <f>INDEX(PT_DIFFERENTIATION_VTAR,MATCH(A297,PT_DIFFERENTIATION_VTAR_ID,0))</f>
        <v>Тариф на питьевую воду (питьевое водоснабжение)</v>
      </c>
      <c r="G297" s="2659" t="str">
        <f>INDEX(PT_DIFFERENTIATION_NTAR,MATCH(B297,PT_DIFFERENTIATION_NTAR_ID,0))</f>
        <v/>
      </c>
      <c r="H297" s="1778"/>
      <c r="I297" s="1657"/>
      <c r="J297" s="1691"/>
      <c r="K297" s="1696"/>
      <c r="L297" s="1778" t="s">
        <v>304</v>
      </c>
      <c r="M297" s="278"/>
      <c r="N297" s="271"/>
      <c r="O297" s="1543"/>
      <c r="P297" s="1543"/>
      <c r="AH297" s="1550">
        <v>0</v>
      </c>
    </row>
    <row r="298" spans="1:34" s="2238" customFormat="1" ht="18.75" hidden="1" customHeight="1">
      <c r="A298" s="1698"/>
      <c r="B298" s="1698"/>
      <c r="C298" s="306" t="s">
        <v>1183</v>
      </c>
      <c r="D298" s="2683"/>
      <c r="E298" s="2437"/>
      <c r="F298" s="2580"/>
      <c r="G298" s="2659"/>
      <c r="H298" s="1419"/>
      <c r="I298" s="588" t="s">
        <v>1182</v>
      </c>
      <c r="J298" s="508"/>
      <c r="K298" s="1419"/>
      <c r="L298" s="151"/>
      <c r="M298" s="278"/>
      <c r="N298" s="271"/>
      <c r="O298" s="1543"/>
      <c r="P298" s="1543"/>
      <c r="AH298" s="1550">
        <v>0</v>
      </c>
    </row>
    <row r="299" spans="1:34" s="2238" customFormat="1" ht="0.75" hidden="1" customHeight="1">
      <c r="A299" s="1698"/>
      <c r="B299" s="1698"/>
      <c r="C299" s="306" t="s">
        <v>1190</v>
      </c>
      <c r="D299" s="2683"/>
      <c r="E299" s="2437"/>
      <c r="F299" s="2580"/>
      <c r="G299" s="337"/>
      <c r="H299" s="1419"/>
      <c r="I299" s="588"/>
      <c r="J299" s="508"/>
      <c r="K299" s="1419"/>
      <c r="L299" s="151"/>
      <c r="M299" s="278"/>
      <c r="N299" s="271"/>
      <c r="O299" s="1543"/>
      <c r="P299" s="1543"/>
      <c r="AH299" s="1550">
        <v>0</v>
      </c>
    </row>
    <row r="300" spans="1:34" s="2238" customFormat="1" ht="18.75" hidden="1" customHeight="1">
      <c r="A300" s="1698" t="s">
        <v>228</v>
      </c>
      <c r="B300" s="1698" t="s">
        <v>229</v>
      </c>
      <c r="C300" s="306"/>
      <c r="D300" s="2683"/>
      <c r="E300" s="2437"/>
      <c r="F300" s="2580" t="str">
        <f>INDEX(PT_DIFFERENTIATION_VTAR,MATCH(A300,PT_DIFFERENTIATION_VTAR_ID,0))</f>
        <v>Тариф на техническую воду</v>
      </c>
      <c r="G300" s="2659" t="str">
        <f>INDEX(PT_DIFFERENTIATION_NTAR,MATCH(B300,PT_DIFFERENTIATION_NTAR_ID,0))</f>
        <v/>
      </c>
      <c r="H300" s="1778"/>
      <c r="I300" s="1657"/>
      <c r="J300" s="1691"/>
      <c r="K300" s="1696"/>
      <c r="L300" s="1778" t="s">
        <v>304</v>
      </c>
      <c r="M300" s="278"/>
      <c r="N300" s="271"/>
      <c r="O300" s="1543"/>
      <c r="P300" s="1543"/>
      <c r="AH300" s="1550">
        <v>0</v>
      </c>
    </row>
    <row r="301" spans="1:34" s="2238" customFormat="1" ht="18.75" hidden="1" customHeight="1">
      <c r="A301" s="1698"/>
      <c r="B301" s="1698"/>
      <c r="C301" s="306" t="s">
        <v>1183</v>
      </c>
      <c r="D301" s="2683"/>
      <c r="E301" s="2437"/>
      <c r="F301" s="2580"/>
      <c r="G301" s="2659"/>
      <c r="H301" s="1419"/>
      <c r="I301" s="588" t="s">
        <v>1182</v>
      </c>
      <c r="J301" s="508"/>
      <c r="K301" s="1419"/>
      <c r="L301" s="151"/>
      <c r="M301" s="278"/>
      <c r="N301" s="271"/>
      <c r="O301" s="1543"/>
      <c r="P301" s="1543"/>
      <c r="AH301" s="1550">
        <v>0</v>
      </c>
    </row>
    <row r="302" spans="1:34" s="2238" customFormat="1" ht="0.75" hidden="1" customHeight="1">
      <c r="A302" s="1698"/>
      <c r="B302" s="1698"/>
      <c r="C302" s="306" t="s">
        <v>1190</v>
      </c>
      <c r="D302" s="2683"/>
      <c r="E302" s="2437"/>
      <c r="F302" s="2580"/>
      <c r="G302" s="337"/>
      <c r="H302" s="1419"/>
      <c r="I302" s="588"/>
      <c r="J302" s="508"/>
      <c r="K302" s="1419"/>
      <c r="L302" s="151"/>
      <c r="M302" s="278"/>
      <c r="N302" s="271"/>
      <c r="O302" s="1543"/>
      <c r="P302" s="1543"/>
      <c r="AH302" s="1550">
        <v>0</v>
      </c>
    </row>
    <row r="303" spans="1:34" s="2238" customFormat="1" ht="18.75" hidden="1" customHeight="1">
      <c r="A303" s="1698" t="s">
        <v>233</v>
      </c>
      <c r="B303" s="1698" t="s">
        <v>234</v>
      </c>
      <c r="C303" s="306"/>
      <c r="D303" s="2683"/>
      <c r="E303" s="2437"/>
      <c r="F303" s="2580" t="str">
        <f>INDEX(PT_DIFFERENTIATION_VTAR,MATCH(A303,PT_DIFFERENTIATION_VTAR_ID,0))</f>
        <v>Тариф на транспортировку воды</v>
      </c>
      <c r="G303" s="2659" t="str">
        <f>INDEX(PT_DIFFERENTIATION_NTAR,MATCH(B303,PT_DIFFERENTIATION_NTAR_ID,0))</f>
        <v/>
      </c>
      <c r="H303" s="1778"/>
      <c r="I303" s="1657"/>
      <c r="J303" s="1691"/>
      <c r="K303" s="1696"/>
      <c r="L303" s="1778" t="s">
        <v>304</v>
      </c>
      <c r="M303" s="278"/>
      <c r="N303" s="271"/>
      <c r="O303" s="1543"/>
      <c r="P303" s="1543"/>
      <c r="AH303" s="1550">
        <v>0</v>
      </c>
    </row>
    <row r="304" spans="1:34" s="2238" customFormat="1" ht="18.75" hidden="1" customHeight="1">
      <c r="A304" s="1698"/>
      <c r="B304" s="1698"/>
      <c r="C304" s="306" t="s">
        <v>1183</v>
      </c>
      <c r="D304" s="2683"/>
      <c r="E304" s="2437"/>
      <c r="F304" s="2580"/>
      <c r="G304" s="2659"/>
      <c r="H304" s="1419"/>
      <c r="I304" s="588" t="s">
        <v>1182</v>
      </c>
      <c r="J304" s="508"/>
      <c r="K304" s="1419"/>
      <c r="L304" s="151"/>
      <c r="M304" s="278"/>
      <c r="N304" s="271"/>
      <c r="O304" s="1543"/>
      <c r="P304" s="1543"/>
      <c r="AH304" s="1550">
        <v>0</v>
      </c>
    </row>
    <row r="305" spans="1:34" s="2238" customFormat="1" ht="0.75" hidden="1" customHeight="1">
      <c r="A305" s="1698"/>
      <c r="B305" s="1698"/>
      <c r="C305" s="306" t="s">
        <v>1190</v>
      </c>
      <c r="D305" s="2683"/>
      <c r="E305" s="2437"/>
      <c r="F305" s="2580"/>
      <c r="G305" s="337"/>
      <c r="H305" s="1419"/>
      <c r="I305" s="588"/>
      <c r="J305" s="508"/>
      <c r="K305" s="1419"/>
      <c r="L305" s="151"/>
      <c r="M305" s="278"/>
      <c r="N305" s="271"/>
      <c r="O305" s="1543"/>
      <c r="P305" s="1543"/>
      <c r="AH305" s="1550">
        <v>0</v>
      </c>
    </row>
    <row r="306" spans="1:34" s="2238" customFormat="1" ht="18.75" hidden="1" customHeight="1">
      <c r="A306" s="1698" t="s">
        <v>238</v>
      </c>
      <c r="B306" s="1698" t="s">
        <v>239</v>
      </c>
      <c r="C306" s="306"/>
      <c r="D306" s="2683"/>
      <c r="E306" s="2437"/>
      <c r="F306" s="2580" t="str">
        <f>INDEX(PT_DIFFERENTIATION_VTAR,MATCH(A306,PT_DIFFERENTIATION_VTAR_ID,0))</f>
        <v>Тариф на подвоз воды</v>
      </c>
      <c r="G306" s="2659" t="str">
        <f>INDEX(PT_DIFFERENTIATION_NTAR,MATCH(B306,PT_DIFFERENTIATION_NTAR_ID,0))</f>
        <v/>
      </c>
      <c r="H306" s="1778"/>
      <c r="I306" s="1657"/>
      <c r="J306" s="1691"/>
      <c r="K306" s="1696"/>
      <c r="L306" s="1778" t="s">
        <v>304</v>
      </c>
      <c r="M306" s="278"/>
      <c r="N306" s="271"/>
      <c r="O306" s="1543"/>
      <c r="P306" s="1543"/>
      <c r="AH306" s="1550">
        <v>0</v>
      </c>
    </row>
    <row r="307" spans="1:34" s="2238" customFormat="1" ht="18.75" hidden="1" customHeight="1">
      <c r="A307" s="1698"/>
      <c r="B307" s="1698"/>
      <c r="C307" s="306" t="s">
        <v>1183</v>
      </c>
      <c r="D307" s="2683"/>
      <c r="E307" s="2437"/>
      <c r="F307" s="2580"/>
      <c r="G307" s="2659"/>
      <c r="H307" s="1419"/>
      <c r="I307" s="588" t="s">
        <v>1182</v>
      </c>
      <c r="J307" s="508"/>
      <c r="K307" s="1419"/>
      <c r="L307" s="151"/>
      <c r="M307" s="278"/>
      <c r="N307" s="271"/>
      <c r="O307" s="1543"/>
      <c r="P307" s="1543"/>
      <c r="AH307" s="1550">
        <v>0</v>
      </c>
    </row>
    <row r="308" spans="1:34" s="2238" customFormat="1" ht="0.75" hidden="1" customHeight="1">
      <c r="A308" s="1698"/>
      <c r="B308" s="1698"/>
      <c r="C308" s="306" t="s">
        <v>1190</v>
      </c>
      <c r="D308" s="2683"/>
      <c r="E308" s="2437"/>
      <c r="F308" s="2580"/>
      <c r="G308" s="337"/>
      <c r="H308" s="1419"/>
      <c r="I308" s="588"/>
      <c r="J308" s="508"/>
      <c r="K308" s="1419"/>
      <c r="L308" s="151"/>
      <c r="M308" s="278"/>
      <c r="N308" s="271"/>
      <c r="O308" s="1543"/>
      <c r="P308" s="1543"/>
      <c r="AH308" s="1550">
        <v>0</v>
      </c>
    </row>
    <row r="309" spans="1:34" s="2238" customFormat="1" ht="18.75" hidden="1" customHeight="1">
      <c r="A309" s="1698" t="s">
        <v>243</v>
      </c>
      <c r="B309" s="1698" t="s">
        <v>244</v>
      </c>
      <c r="C309" s="306"/>
      <c r="D309" s="2683"/>
      <c r="E309" s="2437"/>
      <c r="F309" s="258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659" t="str">
        <f>INDEX(PT_DIFFERENTIATION_NTAR,MATCH(B309,PT_DIFFERENTIATION_NTAR_ID,0))</f>
        <v/>
      </c>
      <c r="H309" s="1778"/>
      <c r="I309" s="1657"/>
      <c r="J309" s="1691"/>
      <c r="K309" s="1696"/>
      <c r="L309" s="1778" t="s">
        <v>304</v>
      </c>
      <c r="M309" s="278"/>
      <c r="N309" s="271"/>
      <c r="O309" s="1543"/>
      <c r="P309" s="1543"/>
      <c r="AH309" s="1550">
        <v>0</v>
      </c>
    </row>
    <row r="310" spans="1:34" s="2238" customFormat="1" ht="18.75" hidden="1" customHeight="1">
      <c r="A310" s="1698"/>
      <c r="B310" s="1698"/>
      <c r="C310" s="306" t="s">
        <v>1183</v>
      </c>
      <c r="D310" s="2683"/>
      <c r="E310" s="2437"/>
      <c r="F310" s="2580"/>
      <c r="G310" s="2659"/>
      <c r="H310" s="1419"/>
      <c r="I310" s="588" t="s">
        <v>1182</v>
      </c>
      <c r="J310" s="508"/>
      <c r="K310" s="1419"/>
      <c r="L310" s="151"/>
      <c r="M310" s="278"/>
      <c r="N310" s="271"/>
      <c r="O310" s="1543"/>
      <c r="P310" s="1543"/>
      <c r="AH310" s="1550">
        <v>0</v>
      </c>
    </row>
    <row r="311" spans="1:34" s="2238" customFormat="1" ht="0.75" hidden="1" customHeight="1">
      <c r="A311" s="1698"/>
      <c r="B311" s="1698"/>
      <c r="C311" s="306" t="s">
        <v>1190</v>
      </c>
      <c r="D311" s="2683"/>
      <c r="E311" s="2437"/>
      <c r="F311" s="2580"/>
      <c r="G311" s="337"/>
      <c r="H311" s="1419"/>
      <c r="I311" s="588"/>
      <c r="J311" s="508"/>
      <c r="K311" s="1419"/>
      <c r="L311" s="151"/>
      <c r="M311" s="278"/>
      <c r="N311" s="271"/>
      <c r="O311" s="1543"/>
      <c r="P311" s="1543"/>
      <c r="AH311" s="1550">
        <v>0</v>
      </c>
    </row>
    <row r="312" spans="1:34" s="2238" customFormat="1" ht="18.75" hidden="1" customHeight="1">
      <c r="A312" s="1698" t="s">
        <v>248</v>
      </c>
      <c r="B312" s="1698" t="s">
        <v>249</v>
      </c>
      <c r="C312" s="306"/>
      <c r="D312" s="2683"/>
      <c r="E312" s="2437"/>
      <c r="F312" s="2580" t="str">
        <f>INDEX(PT_DIFFERENTIATION_VTAR,MATCH(A312,PT_DIFFERENTIATION_VTAR_ID,0))</f>
        <v>Тариф на горячую воду (горячее водоснабжение)</v>
      </c>
      <c r="G312" s="2659" t="str">
        <f>INDEX(PT_DIFFERENTIATION_NTAR,MATCH(B312,PT_DIFFERENTIATION_NTAR_ID,0))</f>
        <v/>
      </c>
      <c r="H312" s="1778"/>
      <c r="I312" s="1657"/>
      <c r="J312" s="1691"/>
      <c r="K312" s="1696"/>
      <c r="L312" s="1778" t="s">
        <v>304</v>
      </c>
      <c r="M312" s="278"/>
      <c r="N312" s="271"/>
      <c r="O312" s="1543"/>
      <c r="P312" s="1543"/>
      <c r="AH312" s="1550">
        <v>0</v>
      </c>
    </row>
    <row r="313" spans="1:34" s="2238" customFormat="1" ht="18.75" hidden="1" customHeight="1">
      <c r="A313" s="1698"/>
      <c r="B313" s="1698"/>
      <c r="C313" s="306" t="s">
        <v>1183</v>
      </c>
      <c r="D313" s="2683"/>
      <c r="E313" s="2437"/>
      <c r="F313" s="2580"/>
      <c r="G313" s="2659"/>
      <c r="H313" s="1419"/>
      <c r="I313" s="588" t="s">
        <v>1182</v>
      </c>
      <c r="J313" s="508"/>
      <c r="K313" s="1419"/>
      <c r="L313" s="151"/>
      <c r="M313" s="278"/>
      <c r="N313" s="271"/>
      <c r="O313" s="1543"/>
      <c r="P313" s="1543"/>
      <c r="AH313" s="1550">
        <v>0</v>
      </c>
    </row>
    <row r="314" spans="1:34" s="2238" customFormat="1" ht="0.75" hidden="1" customHeight="1">
      <c r="A314" s="1698"/>
      <c r="B314" s="1698"/>
      <c r="C314" s="306" t="s">
        <v>1190</v>
      </c>
      <c r="D314" s="2683"/>
      <c r="E314" s="2437"/>
      <c r="F314" s="2580"/>
      <c r="G314" s="337"/>
      <c r="H314" s="1419"/>
      <c r="I314" s="588"/>
      <c r="J314" s="508"/>
      <c r="K314" s="1419"/>
      <c r="L314" s="151"/>
      <c r="M314" s="278"/>
      <c r="N314" s="271"/>
      <c r="O314" s="1543"/>
      <c r="P314" s="1543"/>
      <c r="AH314" s="1550">
        <v>0</v>
      </c>
    </row>
    <row r="315" spans="1:34" s="2238" customFormat="1" ht="18.75" hidden="1" customHeight="1">
      <c r="A315" s="1698" t="s">
        <v>253</v>
      </c>
      <c r="B315" s="1698" t="s">
        <v>254</v>
      </c>
      <c r="C315" s="306"/>
      <c r="D315" s="2683"/>
      <c r="E315" s="2437"/>
      <c r="F315" s="2580" t="str">
        <f>INDEX(PT_DIFFERENTIATION_VTAR,MATCH(A315,PT_DIFFERENTIATION_VTAR_ID,0))</f>
        <v>Тариф на транспортировку горячей воды</v>
      </c>
      <c r="G315" s="2659" t="str">
        <f>INDEX(PT_DIFFERENTIATION_NTAR,MATCH(B315,PT_DIFFERENTIATION_NTAR_ID,0))</f>
        <v/>
      </c>
      <c r="H315" s="1778"/>
      <c r="I315" s="1657"/>
      <c r="J315" s="1691"/>
      <c r="K315" s="1696"/>
      <c r="L315" s="1778" t="s">
        <v>304</v>
      </c>
      <c r="M315" s="278"/>
      <c r="N315" s="271"/>
      <c r="O315" s="1543"/>
      <c r="P315" s="1543"/>
      <c r="AH315" s="1550">
        <v>0</v>
      </c>
    </row>
    <row r="316" spans="1:34" s="2238" customFormat="1" ht="18.75" hidden="1" customHeight="1">
      <c r="A316" s="1698"/>
      <c r="B316" s="1698"/>
      <c r="C316" s="306" t="s">
        <v>1183</v>
      </c>
      <c r="D316" s="2683"/>
      <c r="E316" s="2437"/>
      <c r="F316" s="2580"/>
      <c r="G316" s="2659"/>
      <c r="H316" s="1419"/>
      <c r="I316" s="588" t="s">
        <v>1182</v>
      </c>
      <c r="J316" s="508"/>
      <c r="K316" s="1419"/>
      <c r="L316" s="151"/>
      <c r="M316" s="278"/>
      <c r="N316" s="271"/>
      <c r="O316" s="1543"/>
      <c r="P316" s="1543"/>
      <c r="AH316" s="1550">
        <v>0</v>
      </c>
    </row>
    <row r="317" spans="1:34" s="2238" customFormat="1" ht="0.75" hidden="1" customHeight="1">
      <c r="A317" s="1698"/>
      <c r="B317" s="1698"/>
      <c r="C317" s="306" t="s">
        <v>1190</v>
      </c>
      <c r="D317" s="2683"/>
      <c r="E317" s="2437"/>
      <c r="F317" s="2580"/>
      <c r="G317" s="337"/>
      <c r="H317" s="1419"/>
      <c r="I317" s="588"/>
      <c r="J317" s="508"/>
      <c r="K317" s="1419"/>
      <c r="L317" s="151"/>
      <c r="M317" s="278"/>
      <c r="N317" s="271"/>
      <c r="O317" s="1543"/>
      <c r="P317" s="1543"/>
      <c r="AH317" s="1550">
        <v>0</v>
      </c>
    </row>
    <row r="318" spans="1:34" s="2238" customFormat="1" ht="18.75" hidden="1" customHeight="1">
      <c r="A318" s="1698" t="s">
        <v>258</v>
      </c>
      <c r="B318" s="1698" t="s">
        <v>259</v>
      </c>
      <c r="C318" s="306"/>
      <c r="D318" s="2683"/>
      <c r="E318" s="2437"/>
      <c r="F318" s="258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659" t="str">
        <f>INDEX(PT_DIFFERENTIATION_NTAR,MATCH(B318,PT_DIFFERENTIATION_NTAR_ID,0))</f>
        <v/>
      </c>
      <c r="H318" s="1778"/>
      <c r="I318" s="1657"/>
      <c r="J318" s="1691"/>
      <c r="K318" s="1696"/>
      <c r="L318" s="1778" t="s">
        <v>304</v>
      </c>
      <c r="M318" s="278"/>
      <c r="N318" s="271"/>
      <c r="O318" s="1543"/>
      <c r="P318" s="1543"/>
      <c r="AH318" s="1550">
        <v>0</v>
      </c>
    </row>
    <row r="319" spans="1:34" s="2238" customFormat="1" ht="18.75" hidden="1" customHeight="1">
      <c r="A319" s="1698"/>
      <c r="B319" s="1698"/>
      <c r="C319" s="306" t="s">
        <v>1183</v>
      </c>
      <c r="D319" s="2683"/>
      <c r="E319" s="2437"/>
      <c r="F319" s="2580"/>
      <c r="G319" s="2659"/>
      <c r="H319" s="1419"/>
      <c r="I319" s="588" t="s">
        <v>1182</v>
      </c>
      <c r="J319" s="508"/>
      <c r="K319" s="1419"/>
      <c r="L319" s="151"/>
      <c r="M319" s="278"/>
      <c r="N319" s="271"/>
      <c r="O319" s="1543"/>
      <c r="P319" s="1543"/>
      <c r="AH319" s="1550">
        <v>0</v>
      </c>
    </row>
    <row r="320" spans="1:34" s="2238" customFormat="1" ht="0.75" hidden="1" customHeight="1">
      <c r="A320" s="1698"/>
      <c r="B320" s="1698"/>
      <c r="C320" s="306" t="s">
        <v>1190</v>
      </c>
      <c r="D320" s="2683"/>
      <c r="E320" s="2437"/>
      <c r="F320" s="2580"/>
      <c r="G320" s="337"/>
      <c r="H320" s="1419"/>
      <c r="I320" s="588"/>
      <c r="J320" s="508"/>
      <c r="K320" s="1419"/>
      <c r="L320" s="151"/>
      <c r="M320" s="278"/>
      <c r="N320" s="271"/>
      <c r="O320" s="1543"/>
      <c r="P320" s="1543"/>
      <c r="AH320" s="1550">
        <v>0</v>
      </c>
    </row>
    <row r="321" spans="1:34" s="2238" customFormat="1" ht="18.75" hidden="1" customHeight="1">
      <c r="A321" s="1698" t="s">
        <v>263</v>
      </c>
      <c r="B321" s="1698" t="s">
        <v>264</v>
      </c>
      <c r="C321" s="306"/>
      <c r="D321" s="2683"/>
      <c r="E321" s="2437"/>
      <c r="F321" s="2580" t="str">
        <f>INDEX(PT_DIFFERENTIATION_VTAR,MATCH(A321,PT_DIFFERENTIATION_VTAR_ID,0))</f>
        <v>Тариф на водоотведение</v>
      </c>
      <c r="G321" s="2659" t="str">
        <f>INDEX(PT_DIFFERENTIATION_NTAR,MATCH(B321,PT_DIFFERENTIATION_NTAR_ID,0))</f>
        <v/>
      </c>
      <c r="H321" s="1778"/>
      <c r="I321" s="1657"/>
      <c r="J321" s="1691"/>
      <c r="K321" s="1696"/>
      <c r="L321" s="1778" t="s">
        <v>304</v>
      </c>
      <c r="M321" s="278"/>
      <c r="N321" s="271"/>
      <c r="O321" s="1543"/>
      <c r="P321" s="1543"/>
      <c r="AH321" s="1550">
        <v>0</v>
      </c>
    </row>
    <row r="322" spans="1:34" s="2238" customFormat="1" ht="18.75" hidden="1" customHeight="1">
      <c r="A322" s="1698"/>
      <c r="B322" s="1698"/>
      <c r="C322" s="306" t="s">
        <v>1183</v>
      </c>
      <c r="D322" s="2683"/>
      <c r="E322" s="2437"/>
      <c r="F322" s="2580"/>
      <c r="G322" s="2659"/>
      <c r="H322" s="1419"/>
      <c r="I322" s="588" t="s">
        <v>1182</v>
      </c>
      <c r="J322" s="508"/>
      <c r="K322" s="1419"/>
      <c r="L322" s="151"/>
      <c r="M322" s="278"/>
      <c r="N322" s="271"/>
      <c r="O322" s="1543"/>
      <c r="P322" s="1543"/>
      <c r="AH322" s="1550">
        <v>0</v>
      </c>
    </row>
    <row r="323" spans="1:34" s="2238" customFormat="1" ht="0.75" hidden="1" customHeight="1">
      <c r="A323" s="1698"/>
      <c r="B323" s="1698"/>
      <c r="C323" s="306" t="s">
        <v>1190</v>
      </c>
      <c r="D323" s="2683"/>
      <c r="E323" s="2437"/>
      <c r="F323" s="2580"/>
      <c r="G323" s="337"/>
      <c r="H323" s="1419"/>
      <c r="I323" s="588"/>
      <c r="J323" s="508"/>
      <c r="K323" s="1419"/>
      <c r="L323" s="151"/>
      <c r="M323" s="278"/>
      <c r="N323" s="271"/>
      <c r="O323" s="1543"/>
      <c r="P323" s="1543"/>
      <c r="AH323" s="1550">
        <v>0</v>
      </c>
    </row>
    <row r="324" spans="1:34" s="2238" customFormat="1" ht="18.75" hidden="1" customHeight="1">
      <c r="A324" s="1698" t="s">
        <v>268</v>
      </c>
      <c r="B324" s="1698" t="s">
        <v>269</v>
      </c>
      <c r="C324" s="306"/>
      <c r="D324" s="2683"/>
      <c r="E324" s="2437"/>
      <c r="F324" s="2580" t="str">
        <f>INDEX(PT_DIFFERENTIATION_VTAR,MATCH(A324,PT_DIFFERENTIATION_VTAR_ID,0))</f>
        <v>Тариф на транспортировку сточных вод</v>
      </c>
      <c r="G324" s="2659" t="str">
        <f>INDEX(PT_DIFFERENTIATION_NTAR,MATCH(B324,PT_DIFFERENTIATION_NTAR_ID,0))</f>
        <v/>
      </c>
      <c r="H324" s="1778"/>
      <c r="I324" s="1657"/>
      <c r="J324" s="1691"/>
      <c r="K324" s="1696"/>
      <c r="L324" s="1778" t="s">
        <v>304</v>
      </c>
      <c r="M324" s="278"/>
      <c r="N324" s="271"/>
      <c r="O324" s="1543"/>
      <c r="P324" s="1543"/>
      <c r="AH324" s="1550">
        <v>0</v>
      </c>
    </row>
    <row r="325" spans="1:34" s="2238" customFormat="1" ht="18.75" hidden="1" customHeight="1">
      <c r="A325" s="1698"/>
      <c r="B325" s="1698"/>
      <c r="C325" s="306" t="s">
        <v>1183</v>
      </c>
      <c r="D325" s="2683"/>
      <c r="E325" s="2437"/>
      <c r="F325" s="2580"/>
      <c r="G325" s="2659"/>
      <c r="H325" s="1419"/>
      <c r="I325" s="588" t="s">
        <v>1182</v>
      </c>
      <c r="J325" s="508"/>
      <c r="K325" s="1419"/>
      <c r="L325" s="151"/>
      <c r="M325" s="278"/>
      <c r="N325" s="271"/>
      <c r="O325" s="1543"/>
      <c r="P325" s="1543"/>
      <c r="AH325" s="1550">
        <v>0</v>
      </c>
    </row>
    <row r="326" spans="1:34" s="2238" customFormat="1" ht="0.75" hidden="1" customHeight="1">
      <c r="A326" s="1698"/>
      <c r="B326" s="1698"/>
      <c r="C326" s="306" t="s">
        <v>1190</v>
      </c>
      <c r="D326" s="2683"/>
      <c r="E326" s="2437"/>
      <c r="F326" s="2580"/>
      <c r="G326" s="337"/>
      <c r="H326" s="1419"/>
      <c r="I326" s="588"/>
      <c r="J326" s="508"/>
      <c r="K326" s="1419"/>
      <c r="L326" s="151"/>
      <c r="M326" s="278"/>
      <c r="N326" s="271"/>
      <c r="O326" s="1543"/>
      <c r="P326" s="1543"/>
      <c r="AH326" s="1550">
        <v>0</v>
      </c>
    </row>
    <row r="327" spans="1:34" s="2238" customFormat="1" ht="18.75" hidden="1" customHeight="1">
      <c r="A327" s="1698" t="s">
        <v>273</v>
      </c>
      <c r="B327" s="1698" t="s">
        <v>274</v>
      </c>
      <c r="C327" s="306"/>
      <c r="D327" s="2683"/>
      <c r="E327" s="2437"/>
      <c r="F327" s="2580" t="str">
        <f>INDEX(PT_DIFFERENTIATION_VTAR,MATCH(A327,PT_DIFFERENTIATION_VTAR_ID,0))</f>
        <v>Тариф на подключение (технологическое присоединение) к централизованной системе водоотведения</v>
      </c>
      <c r="G327" s="2659" t="str">
        <f>INDEX(PT_DIFFERENTIATION_NTAR,MATCH(B327,PT_DIFFERENTIATION_NTAR_ID,0))</f>
        <v/>
      </c>
      <c r="H327" s="1778"/>
      <c r="I327" s="1657"/>
      <c r="J327" s="1691"/>
      <c r="K327" s="1696"/>
      <c r="L327" s="1778" t="s">
        <v>304</v>
      </c>
      <c r="M327" s="278"/>
      <c r="N327" s="271"/>
      <c r="O327" s="1543"/>
      <c r="P327" s="1543"/>
      <c r="AH327" s="1550">
        <v>0</v>
      </c>
    </row>
    <row r="328" spans="1:34" s="2238" customFormat="1" ht="18.75" hidden="1" customHeight="1">
      <c r="A328" s="1698"/>
      <c r="B328" s="1698"/>
      <c r="C328" s="306" t="s">
        <v>1183</v>
      </c>
      <c r="D328" s="2683"/>
      <c r="E328" s="2437"/>
      <c r="F328" s="2580"/>
      <c r="G328" s="2659"/>
      <c r="H328" s="1419"/>
      <c r="I328" s="588" t="s">
        <v>1182</v>
      </c>
      <c r="J328" s="508"/>
      <c r="K328" s="1419"/>
      <c r="L328" s="151"/>
      <c r="M328" s="278"/>
      <c r="N328" s="271"/>
      <c r="O328" s="1543"/>
      <c r="P328" s="1543"/>
      <c r="AH328" s="1550">
        <v>0</v>
      </c>
    </row>
    <row r="329" spans="1:34" s="2238" customFormat="1" ht="1.1499999999999999" customHeight="1">
      <c r="A329" s="1698"/>
      <c r="B329" s="1698"/>
      <c r="C329" s="306" t="s">
        <v>1190</v>
      </c>
      <c r="D329" s="2683"/>
      <c r="E329" s="2437"/>
      <c r="F329" s="2580"/>
      <c r="G329" s="337"/>
      <c r="H329" s="1419"/>
      <c r="I329" s="588"/>
      <c r="J329" s="508"/>
      <c r="K329" s="1419"/>
      <c r="L329" s="151"/>
      <c r="M329" s="278"/>
      <c r="N329" s="271"/>
      <c r="O329" s="1543"/>
      <c r="P329" s="1543"/>
      <c r="AH329" s="1550">
        <v>1</v>
      </c>
    </row>
    <row r="330" spans="1:34" s="2294" customFormat="1" ht="3" customHeight="1">
      <c r="A330" s="1698"/>
      <c r="B330" s="1698"/>
      <c r="C330" s="1699"/>
      <c r="E330" s="339"/>
      <c r="F330" s="339"/>
      <c r="G330" s="339"/>
      <c r="H330" s="339"/>
      <c r="I330" s="339"/>
      <c r="J330" s="339"/>
      <c r="K330" s="339"/>
      <c r="L330" s="339"/>
      <c r="M330" s="339"/>
      <c r="O330" s="133"/>
      <c r="P330" s="133"/>
      <c r="AH330" s="79">
        <v>3</v>
      </c>
    </row>
    <row r="331" spans="1:34" ht="26.25" customHeight="1">
      <c r="E331" s="139"/>
      <c r="F331" s="2503"/>
      <c r="G331" s="2503"/>
      <c r="H331" s="2503"/>
      <c r="I331" s="2503"/>
      <c r="J331" s="2503"/>
      <c r="K331" s="2503"/>
      <c r="L331" s="2503"/>
      <c r="M331" s="2503"/>
      <c r="AH331" s="311">
        <v>25</v>
      </c>
    </row>
    <row r="332" spans="1:34" ht="14.25" hidden="1" customHeight="1">
      <c r="A332" s="1697" t="s">
        <v>81</v>
      </c>
      <c r="B332" s="1697">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272" hidden="1" customWidth="1"/>
    <col min="2" max="2" width="9.140625" style="2244" hidden="1" customWidth="1"/>
    <col min="3" max="3" width="3" style="2273" customWidth="1"/>
    <col min="4" max="4" width="6" style="2238" customWidth="1"/>
    <col min="5" max="5" width="53" style="2238" customWidth="1"/>
    <col min="6" max="7" width="35" style="2238" customWidth="1"/>
    <col min="8" max="8" width="89" style="2238" customWidth="1"/>
    <col min="9" max="9" width="10" style="2238" customWidth="1"/>
    <col min="10" max="11" width="10" style="2251" customWidth="1"/>
    <col min="12" max="17" width="10" style="2238" customWidth="1"/>
    <col min="18" max="18" width="10.5703125" style="2238" hidden="1"/>
  </cols>
  <sheetData>
    <row r="1" spans="1:18" ht="22.5" hidden="1" customHeight="1">
      <c r="N1" s="192"/>
      <c r="O1" s="192"/>
      <c r="Q1" s="192"/>
      <c r="R1" s="311" t="s">
        <v>14</v>
      </c>
    </row>
    <row r="2" spans="1:18" s="2238" customFormat="1" ht="18.75" hidden="1" customHeight="1">
      <c r="A2" s="42"/>
      <c r="B2" s="1079"/>
      <c r="C2" s="1648" t="s">
        <v>575</v>
      </c>
      <c r="D2" s="1592"/>
      <c r="E2" s="1601"/>
      <c r="F2" s="194"/>
      <c r="G2" s="1080"/>
      <c r="H2" s="311"/>
      <c r="I2" s="1543"/>
      <c r="J2" s="1543"/>
      <c r="R2" s="1550">
        <v>0</v>
      </c>
    </row>
    <row r="3" spans="1:18" ht="14.25" hidden="1" customHeight="1">
      <c r="R3" s="311">
        <v>0</v>
      </c>
    </row>
    <row r="4" spans="1:18" ht="6.4" customHeight="1">
      <c r="C4" s="313"/>
      <c r="D4" s="300"/>
      <c r="E4" s="300"/>
      <c r="F4" s="300"/>
      <c r="G4" s="25"/>
      <c r="H4" s="25"/>
      <c r="R4" s="311">
        <v>6</v>
      </c>
    </row>
    <row r="5" spans="1:18" ht="34.5" customHeight="1">
      <c r="C5" s="313"/>
      <c r="D5" s="2393"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394"/>
      <c r="F5" s="2394"/>
      <c r="G5" s="2395"/>
      <c r="H5" s="203"/>
      <c r="R5" s="311">
        <v>33</v>
      </c>
    </row>
    <row r="6" spans="1:18" s="2238" customFormat="1" ht="18" customHeight="1">
      <c r="A6" s="1588"/>
      <c r="B6" s="1079"/>
      <c r="C6" s="313"/>
      <c r="D6" s="2447" t="str">
        <f>IF(org=0,"Не определено",org)</f>
        <v>МУП "Водоканал"</v>
      </c>
      <c r="E6" s="2448"/>
      <c r="F6" s="2448"/>
      <c r="G6" s="2449"/>
      <c r="H6" s="203"/>
      <c r="J6" s="1543"/>
      <c r="K6" s="1543"/>
      <c r="R6" s="1550">
        <v>17</v>
      </c>
    </row>
    <row r="7" spans="1:18" ht="14.65" customHeight="1">
      <c r="C7" s="313"/>
      <c r="D7" s="300"/>
      <c r="E7" s="326"/>
      <c r="F7" s="326"/>
      <c r="G7" s="689"/>
      <c r="H7" s="130"/>
      <c r="R7" s="311">
        <v>14</v>
      </c>
    </row>
    <row r="8" spans="1:18" ht="14.65" customHeight="1">
      <c r="C8" s="313"/>
      <c r="D8" s="2442" t="s">
        <v>298</v>
      </c>
      <c r="E8" s="2442"/>
      <c r="F8" s="2442"/>
      <c r="G8" s="2442"/>
      <c r="H8" s="2585" t="s">
        <v>299</v>
      </c>
      <c r="R8" s="311">
        <v>14</v>
      </c>
    </row>
    <row r="9" spans="1:18" ht="24" customHeight="1">
      <c r="C9" s="313"/>
      <c r="D9" s="323" t="s">
        <v>87</v>
      </c>
      <c r="E9" s="48" t="s">
        <v>300</v>
      </c>
      <c r="F9" s="48" t="s">
        <v>301</v>
      </c>
      <c r="G9" s="48" t="s">
        <v>388</v>
      </c>
      <c r="H9" s="2585"/>
      <c r="R9" s="311">
        <v>23</v>
      </c>
    </row>
    <row r="10" spans="1:18" ht="14.65" customHeight="1">
      <c r="A10" s="280"/>
      <c r="C10" s="313"/>
      <c r="D10" s="85" t="s">
        <v>108</v>
      </c>
      <c r="E10" s="180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94"/>
      <c r="G10" s="150"/>
      <c r="H10" s="2405" t="s">
        <v>1191</v>
      </c>
      <c r="R10" s="311">
        <v>14</v>
      </c>
    </row>
    <row r="11" spans="1:18" ht="14.65" customHeight="1">
      <c r="A11" s="280"/>
      <c r="C11" s="313"/>
      <c r="D11" s="85" t="s">
        <v>109</v>
      </c>
      <c r="E11" s="180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94"/>
      <c r="G11" s="150"/>
      <c r="H11" s="2406"/>
      <c r="R11" s="311">
        <v>14</v>
      </c>
    </row>
    <row r="12" spans="1:18" ht="14.65" customHeight="1">
      <c r="A12" s="42"/>
      <c r="C12" s="324"/>
      <c r="D12" s="85" t="s">
        <v>89</v>
      </c>
      <c r="E12" s="325" t="str">
        <f>"Сведения о планировании закупочных процедур"&amp;IF(TEMPLATE_SPHERE="TKO"," &lt;1&gt;","")</f>
        <v>Сведения о планировании закупочных процедур</v>
      </c>
      <c r="F12" s="194"/>
      <c r="G12" s="150"/>
      <c r="H12" s="240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2"/>
      <c r="C13" s="324"/>
      <c r="D13" s="85" t="s">
        <v>90</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406"/>
      <c r="I13" s="287"/>
      <c r="K13" s="311"/>
      <c r="R13" s="311">
        <v>14</v>
      </c>
    </row>
    <row r="14" spans="1:18" ht="14.65" customHeight="1">
      <c r="A14" s="280"/>
      <c r="C14" s="313"/>
      <c r="D14" s="284"/>
      <c r="E14" s="332" t="s">
        <v>320</v>
      </c>
      <c r="F14" s="286"/>
      <c r="G14" s="138"/>
      <c r="H14" s="2407"/>
      <c r="R14" s="311">
        <v>14</v>
      </c>
    </row>
    <row r="15" spans="1:18" s="2238" customFormat="1" ht="14.65" customHeight="1">
      <c r="A15" s="280"/>
      <c r="B15" s="1079"/>
      <c r="C15" s="313"/>
      <c r="D15" s="333"/>
      <c r="E15" s="1596"/>
      <c r="F15" s="1597"/>
      <c r="G15" s="1598"/>
      <c r="H15" s="1599"/>
      <c r="J15" s="1543"/>
      <c r="K15" s="1543"/>
      <c r="R15" s="1550">
        <v>14</v>
      </c>
    </row>
    <row r="16" spans="1:18" ht="14.65" customHeight="1">
      <c r="D16" s="1600"/>
      <c r="E16" s="2503"/>
      <c r="F16" s="2503"/>
      <c r="G16" s="2503"/>
      <c r="H16" s="2503"/>
      <c r="R16" s="311">
        <v>14</v>
      </c>
    </row>
    <row r="17" spans="1:18" ht="22.5" hidden="1" customHeight="1">
      <c r="A17" s="301" t="s">
        <v>81</v>
      </c>
      <c r="B17" s="84">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heetViews>
  <sheetFormatPr defaultColWidth="9.140625" defaultRowHeight="11.25" customHeight="1"/>
  <cols>
    <col min="1" max="2" width="3.7109375" style="2251" hidden="1" customWidth="1"/>
    <col min="3" max="3" width="3" style="2254" customWidth="1"/>
    <col min="4" max="4" width="6" style="2254" customWidth="1"/>
    <col min="5" max="5" width="42" style="2254" customWidth="1"/>
    <col min="6" max="6" width="15" style="2254" customWidth="1"/>
    <col min="7" max="7" width="42" style="2254" customWidth="1"/>
    <col min="8" max="8" width="3" style="2254" customWidth="1"/>
    <col min="9" max="9" width="5" style="2254" customWidth="1"/>
    <col min="10" max="10" width="47" style="2254" customWidth="1"/>
    <col min="11" max="12" width="3" style="2254" customWidth="1"/>
    <col min="13" max="13" width="5" style="2254" customWidth="1"/>
    <col min="14" max="14" width="28" style="2254" customWidth="1"/>
    <col min="15" max="16" width="3" style="2254" customWidth="1"/>
    <col min="17" max="17" width="5" style="2254" customWidth="1"/>
    <col min="18" max="18" width="34" style="2254" customWidth="1"/>
    <col min="19" max="20" width="3.7109375" style="2254" hidden="1" customWidth="1"/>
    <col min="21" max="21" width="5.7109375" style="2254" hidden="1" customWidth="1"/>
    <col min="22" max="22" width="34.42578125" style="2254" hidden="1" customWidth="1"/>
    <col min="23" max="23" width="30" style="2254" customWidth="1"/>
    <col min="24" max="24" width="3" style="2254" customWidth="1"/>
    <col min="25" max="28" width="9.85546875" style="2256" hidden="1" customWidth="1"/>
    <col min="29" max="29" width="27" style="2256" hidden="1" customWidth="1"/>
    <col min="30" max="30" width="10.5703125" style="2256" hidden="1" customWidth="1"/>
    <col min="31" max="31" width="10.7109375" style="2256" hidden="1" customWidth="1"/>
    <col min="32" max="32" width="10" style="2256" hidden="1" customWidth="1"/>
    <col min="33" max="33" width="12.85546875" style="2256" hidden="1" customWidth="1"/>
    <col min="34" max="34" width="24.42578125" style="2256" hidden="1" customWidth="1"/>
    <col min="35" max="35" width="15.85546875" style="2256" hidden="1" customWidth="1"/>
    <col min="36" max="36" width="19.42578125" style="2256" hidden="1" customWidth="1"/>
    <col min="37" max="37" width="11" style="2256" hidden="1" customWidth="1"/>
    <col min="38" max="38" width="23.5703125" style="2256" hidden="1" customWidth="1"/>
    <col min="39" max="39" width="23.85546875" style="2256" hidden="1" customWidth="1"/>
    <col min="40" max="40" width="25.28515625" style="2256" hidden="1" customWidth="1"/>
    <col min="41" max="41" width="16.85546875" style="2256" hidden="1" customWidth="1"/>
    <col min="42" max="42" width="29.5703125" style="2256" hidden="1" customWidth="1"/>
    <col min="43" max="43" width="29.85546875" style="2256" hidden="1" customWidth="1"/>
    <col min="44" max="44" width="9.140625" style="2254"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253" customFormat="1" ht="30.4" customHeight="1">
      <c r="A5" s="92"/>
      <c r="B5" s="92"/>
      <c r="D5" s="239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394"/>
      <c r="F5" s="2394"/>
      <c r="G5" s="2394"/>
      <c r="H5" s="2394"/>
      <c r="I5" s="2394"/>
      <c r="J5" s="2395"/>
      <c r="K5" s="202"/>
      <c r="L5" s="81"/>
      <c r="M5" s="81"/>
      <c r="N5" s="81"/>
      <c r="O5" s="81"/>
      <c r="P5" s="81"/>
      <c r="Q5" s="81"/>
      <c r="R5" s="81"/>
      <c r="S5" s="227"/>
      <c r="T5" s="227"/>
      <c r="U5" s="227"/>
      <c r="V5" s="227"/>
      <c r="W5" s="81"/>
      <c r="Y5" s="1179"/>
      <c r="Z5" s="1179"/>
      <c r="AA5" s="1179"/>
      <c r="AB5" s="1179"/>
      <c r="AC5" s="1179"/>
      <c r="AD5" s="1179"/>
      <c r="AE5" s="1179"/>
      <c r="AF5" s="1179"/>
      <c r="AG5" s="1179"/>
      <c r="AH5" s="1179"/>
      <c r="AI5" s="1179"/>
      <c r="AJ5" s="1179"/>
      <c r="AK5" s="1179"/>
      <c r="AL5" s="1179"/>
      <c r="AM5" s="1179"/>
      <c r="AN5" s="1179"/>
      <c r="AO5" s="1179"/>
      <c r="AP5" s="1179"/>
      <c r="AQ5" s="1179"/>
      <c r="AR5" s="51">
        <v>29</v>
      </c>
    </row>
    <row r="6" spans="1:44" s="2253" customFormat="1" ht="14.65" customHeight="1">
      <c r="A6" s="522"/>
      <c r="B6" s="522"/>
      <c r="C6" s="522"/>
      <c r="D6" s="2399" t="str">
        <f>IF(org=0,"Не определено",org)</f>
        <v>МУП "Водоканал"</v>
      </c>
      <c r="E6" s="2399"/>
      <c r="F6" s="2399"/>
      <c r="G6" s="2399"/>
      <c r="H6" s="2399"/>
      <c r="I6" s="2399"/>
      <c r="J6" s="2399"/>
      <c r="K6" s="523"/>
      <c r="L6" s="523"/>
      <c r="M6" s="523"/>
      <c r="N6" s="523"/>
      <c r="O6" s="797"/>
      <c r="P6" s="797"/>
      <c r="Q6" s="797"/>
      <c r="R6" s="797"/>
      <c r="S6" s="797"/>
      <c r="T6" s="797"/>
      <c r="U6" s="797"/>
      <c r="V6" s="797"/>
      <c r="W6" s="797"/>
      <c r="X6" s="523"/>
      <c r="Y6" s="1180"/>
      <c r="Z6" s="1180"/>
      <c r="AA6" s="1180"/>
      <c r="AB6" s="1180"/>
      <c r="AC6" s="1180"/>
      <c r="AD6" s="1180"/>
      <c r="AE6" s="1180"/>
      <c r="AF6" s="1180"/>
      <c r="AG6" s="1180"/>
      <c r="AH6" s="1180"/>
      <c r="AI6" s="1180"/>
      <c r="AJ6" s="1180"/>
      <c r="AK6" s="1180"/>
      <c r="AL6" s="1180"/>
      <c r="AM6" s="1180"/>
      <c r="AN6" s="1180"/>
      <c r="AO6" s="1180"/>
      <c r="AP6" s="1180"/>
      <c r="AQ6" s="1180"/>
      <c r="AR6" s="524">
        <v>14</v>
      </c>
    </row>
    <row r="7" spans="1:44" s="2257" customFormat="1" ht="11.45" customHeight="1">
      <c r="A7" s="148"/>
      <c r="B7" s="148"/>
      <c r="D7" s="2396"/>
      <c r="E7" s="2397"/>
      <c r="F7" s="2397"/>
      <c r="G7" s="2397"/>
      <c r="H7" s="2397"/>
      <c r="I7" s="2397"/>
      <c r="J7" s="2398"/>
      <c r="S7" s="236"/>
      <c r="T7" s="236"/>
      <c r="U7" s="236"/>
      <c r="V7" s="236"/>
      <c r="Y7" s="1181"/>
      <c r="Z7" s="1181"/>
      <c r="AA7" s="1181"/>
      <c r="AB7" s="1181"/>
      <c r="AC7" s="1181"/>
      <c r="AD7" s="1181"/>
      <c r="AE7" s="1181"/>
      <c r="AF7" s="1181"/>
      <c r="AG7" s="1181"/>
      <c r="AH7" s="1181"/>
      <c r="AI7" s="1181"/>
      <c r="AJ7" s="1181"/>
      <c r="AK7" s="1181"/>
      <c r="AL7" s="1181"/>
      <c r="AM7" s="1181"/>
      <c r="AN7" s="1181"/>
      <c r="AO7" s="1181"/>
      <c r="AP7" s="1181"/>
      <c r="AQ7" s="1181"/>
      <c r="AR7" s="213">
        <v>11</v>
      </c>
    </row>
    <row r="8" spans="1:44" s="2253"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9"/>
      <c r="Z8" s="1179"/>
      <c r="AA8" s="1179"/>
      <c r="AB8" s="1179"/>
      <c r="AC8" s="1179"/>
      <c r="AD8" s="1179"/>
      <c r="AE8" s="1179"/>
      <c r="AF8" s="1179"/>
      <c r="AG8" s="1179"/>
      <c r="AH8" s="1179"/>
      <c r="AI8" s="1179"/>
      <c r="AJ8" s="1179"/>
      <c r="AK8" s="1179"/>
      <c r="AL8" s="1179"/>
      <c r="AM8" s="1179"/>
      <c r="AN8" s="1179"/>
      <c r="AO8" s="1179"/>
      <c r="AP8" s="1179"/>
      <c r="AQ8" s="1179"/>
      <c r="AR8" s="51">
        <v>1</v>
      </c>
    </row>
    <row r="9" spans="1:44" ht="28.5" customHeight="1">
      <c r="D9" s="2363" t="s">
        <v>87</v>
      </c>
      <c r="E9" s="2335" t="s">
        <v>122</v>
      </c>
      <c r="F9" s="2334"/>
      <c r="G9" s="2363" t="s">
        <v>104</v>
      </c>
      <c r="H9" s="2363" t="s">
        <v>87</v>
      </c>
      <c r="I9" s="2363"/>
      <c r="J9" s="2363" t="s">
        <v>123</v>
      </c>
      <c r="K9" s="2391" t="s">
        <v>124</v>
      </c>
      <c r="L9" s="2391"/>
      <c r="M9" s="2391"/>
      <c r="N9" s="2391"/>
      <c r="O9" s="2391" t="s">
        <v>125</v>
      </c>
      <c r="P9" s="2391"/>
      <c r="Q9" s="2391"/>
      <c r="R9" s="2391"/>
      <c r="S9" s="2391" t="s">
        <v>126</v>
      </c>
      <c r="T9" s="2391"/>
      <c r="U9" s="2391"/>
      <c r="V9" s="2391"/>
      <c r="W9" s="2363" t="s">
        <v>127</v>
      </c>
      <c r="AR9" s="44">
        <v>27</v>
      </c>
    </row>
    <row r="10" spans="1:44" ht="31.5" customHeight="1">
      <c r="D10" s="2363"/>
      <c r="E10" s="1203" t="s">
        <v>88</v>
      </c>
      <c r="F10" s="1203" t="s">
        <v>128</v>
      </c>
      <c r="G10" s="2363"/>
      <c r="H10" s="2363"/>
      <c r="I10" s="2363"/>
      <c r="J10" s="2363"/>
      <c r="K10" s="50" t="s">
        <v>107</v>
      </c>
      <c r="L10" s="2363" t="s">
        <v>87</v>
      </c>
      <c r="M10" s="2363"/>
      <c r="N10" s="50" t="s">
        <v>129</v>
      </c>
      <c r="O10" s="50" t="s">
        <v>107</v>
      </c>
      <c r="P10" s="2363" t="s">
        <v>87</v>
      </c>
      <c r="Q10" s="2363"/>
      <c r="R10" s="50" t="s">
        <v>129</v>
      </c>
      <c r="S10" s="220" t="s">
        <v>107</v>
      </c>
      <c r="T10" s="2363" t="s">
        <v>87</v>
      </c>
      <c r="U10" s="2363"/>
      <c r="V10" s="220" t="s">
        <v>88</v>
      </c>
      <c r="W10" s="2363"/>
      <c r="Z10" s="1178" t="s">
        <v>130</v>
      </c>
      <c r="AA10" s="1178" t="s">
        <v>131</v>
      </c>
      <c r="AB10" s="1178" t="s">
        <v>132</v>
      </c>
      <c r="AC10" s="1178" t="s">
        <v>133</v>
      </c>
      <c r="AD10" s="1178" t="s">
        <v>134</v>
      </c>
      <c r="AE10" s="1178" t="s">
        <v>135</v>
      </c>
      <c r="AF10" s="1178" t="s">
        <v>136</v>
      </c>
      <c r="AG10" s="1178" t="s">
        <v>137</v>
      </c>
      <c r="AH10" s="1178" t="s">
        <v>138</v>
      </c>
      <c r="AI10" s="1178" t="s">
        <v>139</v>
      </c>
      <c r="AJ10" s="1178" t="s">
        <v>140</v>
      </c>
      <c r="AK10" s="1178" t="s">
        <v>141</v>
      </c>
      <c r="AL10" s="1178" t="s">
        <v>142</v>
      </c>
      <c r="AM10" s="1178" t="s">
        <v>143</v>
      </c>
      <c r="AN10" s="1178" t="s">
        <v>144</v>
      </c>
      <c r="AO10" s="1178" t="s">
        <v>145</v>
      </c>
      <c r="AP10" s="1178" t="s">
        <v>146</v>
      </c>
      <c r="AQ10" s="1178" t="s">
        <v>147</v>
      </c>
      <c r="AR10" s="44">
        <v>30</v>
      </c>
    </row>
    <row r="11" spans="1:44" s="2251" customFormat="1" ht="12" hidden="1" customHeight="1">
      <c r="D11" s="1168" t="s">
        <v>108</v>
      </c>
      <c r="E11" s="1168" t="s">
        <v>109</v>
      </c>
      <c r="F11" s="1168"/>
      <c r="G11" s="1168" t="s">
        <v>89</v>
      </c>
      <c r="H11" s="2392" t="s">
        <v>110</v>
      </c>
      <c r="I11" s="2392"/>
      <c r="J11" s="1168" t="s">
        <v>91</v>
      </c>
      <c r="K11" s="1168" t="s">
        <v>92</v>
      </c>
      <c r="L11" s="2392" t="s">
        <v>111</v>
      </c>
      <c r="M11" s="2392"/>
      <c r="N11" s="1168" t="s">
        <v>148</v>
      </c>
      <c r="O11" s="1168" t="s">
        <v>149</v>
      </c>
      <c r="P11" s="2392" t="s">
        <v>150</v>
      </c>
      <c r="Q11" s="2392"/>
      <c r="R11" s="1168" t="s">
        <v>151</v>
      </c>
      <c r="S11" s="1168" t="s">
        <v>150</v>
      </c>
      <c r="T11" s="2392" t="s">
        <v>151</v>
      </c>
      <c r="U11" s="2392"/>
      <c r="V11" s="1168" t="s">
        <v>152</v>
      </c>
      <c r="W11" s="1168" t="s">
        <v>153</v>
      </c>
      <c r="Y11" s="1178"/>
      <c r="Z11" s="1178"/>
      <c r="AA11" s="1178"/>
      <c r="AB11" s="1178"/>
      <c r="AC11" s="1178"/>
      <c r="AD11" s="1178"/>
      <c r="AE11" s="1178"/>
      <c r="AF11" s="1178"/>
      <c r="AG11" s="1178"/>
      <c r="AH11" s="1178"/>
      <c r="AI11" s="1178"/>
      <c r="AJ11" s="1178"/>
      <c r="AK11" s="1178"/>
      <c r="AL11" s="1178"/>
      <c r="AM11" s="1178"/>
      <c r="AN11" s="1178"/>
      <c r="AO11" s="1178"/>
      <c r="AP11" s="1178"/>
      <c r="AQ11" s="1178"/>
      <c r="AR11" s="214">
        <v>0</v>
      </c>
    </row>
    <row r="12" spans="1:44" ht="14.25" hidden="1" customHeight="1">
      <c r="C12" s="146"/>
      <c r="D12" s="1201">
        <v>0</v>
      </c>
      <c r="E12" s="187"/>
      <c r="F12" s="187"/>
      <c r="G12" s="187"/>
      <c r="H12" s="188"/>
      <c r="I12" s="188"/>
      <c r="J12" s="96"/>
      <c r="K12" s="52"/>
      <c r="L12" s="96"/>
      <c r="M12" s="96"/>
      <c r="N12" s="189"/>
      <c r="O12" s="52"/>
      <c r="P12" s="96"/>
      <c r="Q12" s="96"/>
      <c r="R12" s="190"/>
      <c r="S12" s="221"/>
      <c r="T12" s="229"/>
      <c r="U12" s="229"/>
      <c r="V12" s="233"/>
      <c r="W12" s="52"/>
      <c r="X12" s="80"/>
      <c r="AR12" s="44">
        <v>0</v>
      </c>
    </row>
    <row r="13" spans="1:44" s="2254" customFormat="1" ht="17.25" hidden="1" customHeight="1">
      <c r="A13" s="258"/>
      <c r="C13" s="146"/>
      <c r="D13" s="2371">
        <v>1</v>
      </c>
      <c r="E13" s="2379" t="s">
        <v>154</v>
      </c>
      <c r="F13" s="2381" t="s">
        <v>19</v>
      </c>
      <c r="G13" s="2379"/>
      <c r="H13" s="2384"/>
      <c r="I13" s="2386"/>
      <c r="J13" s="2388"/>
      <c r="K13" s="2373"/>
      <c r="L13" s="2373"/>
      <c r="M13" s="2373"/>
      <c r="N13" s="2375"/>
      <c r="O13" s="2373"/>
      <c r="P13" s="2373"/>
      <c r="Q13" s="2373"/>
      <c r="R13" s="2378"/>
      <c r="S13" s="2373"/>
      <c r="T13" s="1339"/>
      <c r="U13" s="1339"/>
      <c r="V13" s="1338"/>
      <c r="W13" s="1215"/>
      <c r="Y13" s="1186"/>
      <c r="Z13" s="1186"/>
      <c r="AA13" s="1186"/>
      <c r="AB13" s="1186"/>
      <c r="AC13" s="1186" t="s">
        <v>155</v>
      </c>
      <c r="AD13" s="1186" t="s">
        <v>156</v>
      </c>
      <c r="AE13" s="1186" t="s">
        <v>157</v>
      </c>
      <c r="AF13" s="1186" t="s">
        <v>158</v>
      </c>
      <c r="AG13" s="1186" t="s">
        <v>159</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
      </c>
      <c r="AJ13" s="1186" t="str">
        <f>IF($J$13=0,"",$J$13)</f>
        <v/>
      </c>
      <c r="AK13" s="1186" t="str">
        <f>IF($K$13="нет","без дифференциации",IF($N$13=0,"",$N$13))</f>
        <v/>
      </c>
      <c r="AL13" s="1186" t="str">
        <f>IF($O$13="нет","без дифференциации",IF($R$13=0,"",$R$13))</f>
        <v/>
      </c>
      <c r="AM13" s="1186" t="str">
        <f>IF($S$13="нет","без дифференциации",IF($V$13=0,"",$V$13))</f>
        <v/>
      </c>
      <c r="AN13" s="1186">
        <f>$I$13</f>
        <v>0</v>
      </c>
      <c r="AO13" s="1186" t="str">
        <f>$I$13&amp;"."&amp;$M$13</f>
        <v>.</v>
      </c>
      <c r="AP13" s="1186" t="str">
        <f>$I$13&amp;"."&amp;$M$13&amp;"."&amp;$Q$13</f>
        <v>..</v>
      </c>
      <c r="AQ13" s="1186" t="str">
        <f>$I$13&amp;"."&amp;$M$13&amp;"."&amp;$Q$13&amp;"."&amp;$U$13</f>
        <v>...</v>
      </c>
      <c r="AR13" s="687">
        <v>0</v>
      </c>
    </row>
    <row r="14" spans="1:44" s="2254" customFormat="1" ht="17.25" hidden="1" customHeight="1">
      <c r="A14" s="258"/>
      <c r="C14" s="257"/>
      <c r="D14" s="2371"/>
      <c r="E14" s="2379"/>
      <c r="F14" s="2382"/>
      <c r="G14" s="2379"/>
      <c r="H14" s="2385"/>
      <c r="I14" s="2387"/>
      <c r="J14" s="2389"/>
      <c r="K14" s="2374"/>
      <c r="L14" s="2374"/>
      <c r="M14" s="2374"/>
      <c r="N14" s="2376"/>
      <c r="O14" s="2374"/>
      <c r="P14" s="2374"/>
      <c r="Q14" s="2374"/>
      <c r="R14" s="2377"/>
      <c r="S14" s="2374"/>
      <c r="T14" s="1216"/>
      <c r="U14" s="1216"/>
      <c r="V14" s="1216"/>
      <c r="W14" s="1217"/>
      <c r="Y14" s="1178"/>
      <c r="Z14" s="1178"/>
      <c r="AA14" s="1178"/>
      <c r="AB14" s="1178"/>
      <c r="AC14" s="1178"/>
      <c r="AD14" s="1178"/>
      <c r="AE14" s="1178"/>
      <c r="AF14" s="1178"/>
      <c r="AG14" s="1178"/>
      <c r="AH14" s="1178"/>
      <c r="AI14" s="1178"/>
      <c r="AJ14" s="1178"/>
      <c r="AK14" s="1178"/>
      <c r="AL14" s="1178"/>
      <c r="AM14" s="1178"/>
      <c r="AN14" s="1178"/>
      <c r="AO14" s="1178"/>
      <c r="AP14" s="1178"/>
      <c r="AQ14" s="1178"/>
      <c r="AR14" s="687">
        <v>0</v>
      </c>
    </row>
    <row r="15" spans="1:44" s="2254" customFormat="1" ht="17.25" hidden="1" customHeight="1">
      <c r="A15" s="258"/>
      <c r="C15" s="146"/>
      <c r="D15" s="2371"/>
      <c r="E15" s="2379"/>
      <c r="F15" s="2382"/>
      <c r="G15" s="2379"/>
      <c r="H15" s="2385"/>
      <c r="I15" s="2387"/>
      <c r="J15" s="2390"/>
      <c r="K15" s="2374"/>
      <c r="L15" s="2374"/>
      <c r="M15" s="2374"/>
      <c r="N15" s="2377"/>
      <c r="O15" s="2374"/>
      <c r="P15" s="1337"/>
      <c r="Q15" s="1216"/>
      <c r="R15" s="1216"/>
      <c r="S15" s="266"/>
      <c r="T15" s="266"/>
      <c r="U15" s="266"/>
      <c r="V15" s="266"/>
      <c r="W15" s="1217"/>
      <c r="Y15" s="1186"/>
      <c r="Z15" s="1186"/>
      <c r="AA15" s="1186"/>
      <c r="AB15" s="1186"/>
      <c r="AC15" s="1186"/>
      <c r="AD15" s="1186"/>
      <c r="AE15" s="1186"/>
      <c r="AF15" s="1186"/>
      <c r="AG15" s="1186"/>
      <c r="AH15" s="1186"/>
      <c r="AI15" s="1186"/>
      <c r="AJ15" s="1186"/>
      <c r="AK15" s="1186"/>
      <c r="AL15" s="1186"/>
      <c r="AM15" s="1186"/>
      <c r="AN15" s="1186"/>
      <c r="AO15" s="1186"/>
      <c r="AP15" s="1186"/>
      <c r="AQ15" s="1186"/>
      <c r="AR15" s="1336">
        <v>0</v>
      </c>
    </row>
    <row r="16" spans="1:44" s="2254" customFormat="1" ht="17.25" hidden="1" customHeight="1">
      <c r="A16" s="258"/>
      <c r="C16" s="257"/>
      <c r="D16" s="2371"/>
      <c r="E16" s="2379"/>
      <c r="F16" s="2382"/>
      <c r="G16" s="2379"/>
      <c r="H16" s="2385"/>
      <c r="I16" s="2387"/>
      <c r="J16" s="2390"/>
      <c r="K16" s="2374"/>
      <c r="L16" s="1216"/>
      <c r="M16" s="1216"/>
      <c r="N16" s="1216"/>
      <c r="O16" s="1216"/>
      <c r="P16" s="1216"/>
      <c r="Q16" s="1216"/>
      <c r="R16" s="1216"/>
      <c r="S16" s="266"/>
      <c r="T16" s="266"/>
      <c r="U16" s="266"/>
      <c r="V16" s="266"/>
      <c r="W16" s="1217"/>
      <c r="Y16" s="1178"/>
      <c r="Z16" s="1178"/>
      <c r="AA16" s="1178"/>
      <c r="AB16" s="1178"/>
      <c r="AC16" s="1178"/>
      <c r="AD16" s="1178"/>
      <c r="AE16" s="1178"/>
      <c r="AF16" s="1178"/>
      <c r="AG16" s="1178"/>
      <c r="AH16" s="1178"/>
      <c r="AI16" s="1178"/>
      <c r="AJ16" s="1178"/>
      <c r="AK16" s="1178"/>
      <c r="AL16" s="1178"/>
      <c r="AM16" s="1178"/>
      <c r="AN16" s="1178"/>
      <c r="AO16" s="1178"/>
      <c r="AP16" s="1178"/>
      <c r="AQ16" s="1178"/>
      <c r="AR16" s="1336">
        <v>0</v>
      </c>
    </row>
    <row r="17" spans="1:44" s="2254" customFormat="1" ht="17.25" hidden="1" customHeight="1">
      <c r="A17" s="258"/>
      <c r="C17" s="257"/>
      <c r="D17" s="2372"/>
      <c r="E17" s="2380"/>
      <c r="F17" s="2383"/>
      <c r="G17" s="2380"/>
      <c r="H17" s="1218"/>
      <c r="I17" s="1219"/>
      <c r="J17" s="1219"/>
      <c r="K17" s="1219"/>
      <c r="L17" s="1219"/>
      <c r="M17" s="1219"/>
      <c r="N17" s="1219"/>
      <c r="O17" s="1219"/>
      <c r="P17" s="1219"/>
      <c r="Q17" s="1219"/>
      <c r="R17" s="1219"/>
      <c r="S17" s="1220"/>
      <c r="T17" s="1220"/>
      <c r="U17" s="1220"/>
      <c r="V17" s="1220"/>
      <c r="W17" s="1221"/>
      <c r="Y17" s="1178"/>
      <c r="Z17" s="1178"/>
      <c r="AA17" s="1178"/>
      <c r="AB17" s="1178"/>
      <c r="AC17" s="1178"/>
      <c r="AD17" s="1178"/>
      <c r="AE17" s="1178"/>
      <c r="AF17" s="1178"/>
      <c r="AG17" s="1178"/>
      <c r="AH17" s="1178"/>
      <c r="AI17" s="1178"/>
      <c r="AJ17" s="1178"/>
      <c r="AK17" s="1178"/>
      <c r="AL17" s="1178"/>
      <c r="AM17" s="1178"/>
      <c r="AN17" s="1178"/>
      <c r="AO17" s="1178"/>
      <c r="AP17" s="1178"/>
      <c r="AQ17" s="1178"/>
      <c r="AR17" s="687">
        <v>0</v>
      </c>
    </row>
    <row r="18" spans="1:44" s="2254" customFormat="1" ht="17.25" hidden="1" customHeight="1">
      <c r="A18" s="258"/>
      <c r="C18" s="146"/>
      <c r="D18" s="2371">
        <v>2</v>
      </c>
      <c r="E18" s="2400"/>
      <c r="F18" s="2381" t="s">
        <v>19</v>
      </c>
      <c r="G18" s="2379"/>
      <c r="H18" s="2384"/>
      <c r="I18" s="2386"/>
      <c r="J18" s="2388"/>
      <c r="K18" s="2373"/>
      <c r="L18" s="2373"/>
      <c r="M18" s="2373"/>
      <c r="N18" s="2375"/>
      <c r="O18" s="2373"/>
      <c r="P18" s="2373"/>
      <c r="Q18" s="2373"/>
      <c r="R18" s="2378"/>
      <c r="S18" s="2373"/>
      <c r="T18" s="1339"/>
      <c r="U18" s="1339"/>
      <c r="V18" s="1338"/>
      <c r="W18" s="1215"/>
      <c r="X18" s="1186"/>
      <c r="Y18" s="1186"/>
      <c r="Z18" s="1186"/>
      <c r="AA18" s="1186"/>
      <c r="AB18" s="1186"/>
      <c r="AC18" s="1186" t="s">
        <v>160</v>
      </c>
      <c r="AD18" s="1186" t="s">
        <v>161</v>
      </c>
      <c r="AE18" s="1186" t="s">
        <v>162</v>
      </c>
      <c r="AF18" s="1186" t="s">
        <v>163</v>
      </c>
      <c r="AG18" s="1186" t="s">
        <v>164</v>
      </c>
      <c r="AH18" s="1186" t="str">
        <f>IF($E$18=0,"",$E$18)</f>
        <v/>
      </c>
      <c r="AI18" s="1186" t="str">
        <f>IF($G$18=0,"",$G$18)</f>
        <v/>
      </c>
      <c r="AJ18" s="1186" t="str">
        <f>IF($J$18=0,"",$J$18)</f>
        <v/>
      </c>
      <c r="AK18" s="1186" t="str">
        <f>IF($K$18="нет","без дифференциации",IF($N$18=0,"",$N$18))</f>
        <v/>
      </c>
      <c r="AL18" s="1186" t="str">
        <f>IF($O$18="нет","без дифференциации",IF($R$18=0,"",$R$18))</f>
        <v/>
      </c>
      <c r="AM18" s="1186" t="str">
        <f>IF($S$18="нет","без дифференциации",IF($V$18=0,"",$V$18))</f>
        <v/>
      </c>
      <c r="AN18" s="1690">
        <f>$I$18</f>
        <v>0</v>
      </c>
      <c r="AO18" s="1186" t="str">
        <f>$I$18&amp;"."&amp;$M$18</f>
        <v>.</v>
      </c>
      <c r="AP18" s="1178" t="str">
        <f>$I$18&amp;"."&amp;$M$18&amp;"."&amp;$Q$18</f>
        <v>..</v>
      </c>
      <c r="AQ18" s="1178" t="str">
        <f>$I$18&amp;"."&amp;$M$18&amp;"."&amp;$Q$18&amp;"."&amp;$U$18</f>
        <v>...</v>
      </c>
      <c r="AR18" s="1202">
        <v>0</v>
      </c>
    </row>
    <row r="19" spans="1:44" s="2254" customFormat="1" ht="17.25" hidden="1" customHeight="1">
      <c r="A19" s="258"/>
      <c r="C19" s="257"/>
      <c r="D19" s="2371"/>
      <c r="E19" s="2400"/>
      <c r="F19" s="2382"/>
      <c r="G19" s="2379"/>
      <c r="H19" s="2385"/>
      <c r="I19" s="2387"/>
      <c r="J19" s="2389"/>
      <c r="K19" s="2374"/>
      <c r="L19" s="2374"/>
      <c r="M19" s="2374"/>
      <c r="N19" s="2376"/>
      <c r="O19" s="2374"/>
      <c r="P19" s="2374"/>
      <c r="Q19" s="2374"/>
      <c r="R19" s="2377"/>
      <c r="S19" s="2374"/>
      <c r="T19" s="1216"/>
      <c r="U19" s="1216"/>
      <c r="V19" s="1216"/>
      <c r="W19" s="1217"/>
      <c r="X19" s="1178"/>
      <c r="Y19" s="1178"/>
      <c r="Z19" s="1178"/>
      <c r="AA19" s="1178"/>
      <c r="AB19" s="1178"/>
      <c r="AC19" s="1178"/>
      <c r="AD19" s="1178"/>
      <c r="AE19" s="1178"/>
      <c r="AF19" s="1178"/>
      <c r="AG19" s="1178"/>
      <c r="AH19" s="1178"/>
      <c r="AI19" s="1178"/>
      <c r="AJ19" s="1178"/>
      <c r="AK19" s="1178"/>
      <c r="AL19" s="1178"/>
      <c r="AM19" s="1178"/>
      <c r="AN19" s="1178"/>
      <c r="AO19" s="1178"/>
      <c r="AP19" s="1178"/>
      <c r="AQ19" s="1178"/>
      <c r="AR19" s="1202">
        <v>0</v>
      </c>
    </row>
    <row r="20" spans="1:44" s="2254" customFormat="1" ht="17.25" hidden="1" customHeight="1">
      <c r="A20" s="258"/>
      <c r="C20" s="257"/>
      <c r="D20" s="2372"/>
      <c r="E20" s="2401"/>
      <c r="F20" s="2382"/>
      <c r="G20" s="2380"/>
      <c r="H20" s="2385"/>
      <c r="I20" s="2387"/>
      <c r="J20" s="2390"/>
      <c r="K20" s="2374"/>
      <c r="L20" s="2374"/>
      <c r="M20" s="2374"/>
      <c r="N20" s="2377"/>
      <c r="O20" s="2374"/>
      <c r="P20" s="1337"/>
      <c r="Q20" s="1216"/>
      <c r="R20" s="1216"/>
      <c r="S20" s="266"/>
      <c r="T20" s="266"/>
      <c r="U20" s="266"/>
      <c r="V20" s="266"/>
      <c r="W20" s="1217"/>
      <c r="X20" s="1178"/>
      <c r="Y20" s="1178"/>
      <c r="Z20" s="1178"/>
      <c r="AA20" s="1178"/>
      <c r="AB20" s="1178"/>
      <c r="AC20" s="1178"/>
      <c r="AD20" s="1178"/>
      <c r="AE20" s="1178"/>
      <c r="AF20" s="1178"/>
      <c r="AG20" s="1178"/>
      <c r="AH20" s="1178"/>
      <c r="AI20" s="1178"/>
      <c r="AJ20" s="1178"/>
      <c r="AK20" s="1178"/>
      <c r="AL20" s="1178"/>
      <c r="AM20" s="1178"/>
      <c r="AN20" s="1178"/>
      <c r="AO20" s="1178"/>
      <c r="AP20" s="1178"/>
      <c r="AQ20" s="1178"/>
      <c r="AR20" s="1202">
        <v>0</v>
      </c>
    </row>
    <row r="21" spans="1:44" s="2254" customFormat="1" ht="17.25" hidden="1" customHeight="1">
      <c r="A21" s="258"/>
      <c r="C21" s="257"/>
      <c r="D21" s="2372"/>
      <c r="E21" s="2401"/>
      <c r="F21" s="2382"/>
      <c r="G21" s="2380"/>
      <c r="H21" s="2385"/>
      <c r="I21" s="2387"/>
      <c r="J21" s="2390"/>
      <c r="K21" s="2374"/>
      <c r="L21" s="1216"/>
      <c r="M21" s="1216"/>
      <c r="N21" s="1216"/>
      <c r="O21" s="1216"/>
      <c r="P21" s="1216"/>
      <c r="Q21" s="1216"/>
      <c r="R21" s="1216"/>
      <c r="S21" s="266"/>
      <c r="T21" s="266"/>
      <c r="U21" s="266"/>
      <c r="V21" s="266"/>
      <c r="W21" s="1217"/>
      <c r="X21" s="1178"/>
      <c r="Y21" s="1178"/>
      <c r="Z21" s="1178"/>
      <c r="AA21" s="1178"/>
      <c r="AB21" s="1178"/>
      <c r="AC21" s="1178"/>
      <c r="AD21" s="1178"/>
      <c r="AE21" s="1178"/>
      <c r="AF21" s="1178"/>
      <c r="AG21" s="1178"/>
      <c r="AH21" s="1178"/>
      <c r="AI21" s="1178"/>
      <c r="AJ21" s="1178"/>
      <c r="AK21" s="1178"/>
      <c r="AL21" s="1178"/>
      <c r="AM21" s="1178"/>
      <c r="AN21" s="1178"/>
      <c r="AO21" s="1178"/>
      <c r="AP21" s="1178"/>
      <c r="AQ21" s="1178"/>
      <c r="AR21" s="1202">
        <v>0</v>
      </c>
    </row>
    <row r="22" spans="1:44" s="2254" customFormat="1" ht="17.25" hidden="1" customHeight="1">
      <c r="A22" s="258"/>
      <c r="C22" s="257"/>
      <c r="D22" s="2372"/>
      <c r="E22" s="2401"/>
      <c r="F22" s="2383"/>
      <c r="G22" s="2380"/>
      <c r="H22" s="1218"/>
      <c r="I22" s="1219"/>
      <c r="J22" s="1219"/>
      <c r="K22" s="1219"/>
      <c r="L22" s="1219"/>
      <c r="M22" s="1219"/>
      <c r="N22" s="1219"/>
      <c r="O22" s="1219"/>
      <c r="P22" s="1219"/>
      <c r="Q22" s="1219"/>
      <c r="R22" s="1219"/>
      <c r="S22" s="1220"/>
      <c r="T22" s="1220"/>
      <c r="U22" s="1220"/>
      <c r="V22" s="1220"/>
      <c r="W22" s="1221"/>
      <c r="X22" s="1178"/>
      <c r="Y22" s="1178"/>
      <c r="Z22" s="1178"/>
      <c r="AA22" s="1178"/>
      <c r="AB22" s="1178"/>
      <c r="AC22" s="1178"/>
      <c r="AD22" s="1178"/>
      <c r="AE22" s="1178"/>
      <c r="AF22" s="1178"/>
      <c r="AG22" s="1178"/>
      <c r="AH22" s="1178"/>
      <c r="AI22" s="1178"/>
      <c r="AJ22" s="1178"/>
      <c r="AK22" s="1178"/>
      <c r="AL22" s="1178"/>
      <c r="AM22" s="1178"/>
      <c r="AN22" s="1178"/>
      <c r="AO22" s="1178"/>
      <c r="AP22" s="1178"/>
      <c r="AQ22" s="1178"/>
      <c r="AR22" s="1202">
        <v>0</v>
      </c>
    </row>
    <row r="23" spans="1:44" s="2254" customFormat="1" ht="17.25" hidden="1" customHeight="1">
      <c r="A23" s="258"/>
      <c r="C23" s="146"/>
      <c r="D23" s="2371">
        <v>2</v>
      </c>
      <c r="E23" s="2379" t="s">
        <v>165</v>
      </c>
      <c r="F23" s="2381" t="s">
        <v>19</v>
      </c>
      <c r="G23" s="2379"/>
      <c r="H23" s="2384"/>
      <c r="I23" s="2386"/>
      <c r="J23" s="2388"/>
      <c r="K23" s="2373"/>
      <c r="L23" s="2373"/>
      <c r="M23" s="2373"/>
      <c r="N23" s="2375"/>
      <c r="O23" s="2373"/>
      <c r="P23" s="2373"/>
      <c r="Q23" s="2373"/>
      <c r="R23" s="2378"/>
      <c r="S23" s="2373"/>
      <c r="T23" s="1911"/>
      <c r="U23" s="1911"/>
      <c r="V23" s="1913"/>
      <c r="W23" s="1215"/>
      <c r="X23" s="1186"/>
      <c r="Y23" s="1186"/>
      <c r="Z23" s="1186"/>
      <c r="AA23" s="1186"/>
      <c r="AB23" s="1186"/>
      <c r="AC23" s="1186" t="s">
        <v>160</v>
      </c>
      <c r="AD23" s="1186" t="s">
        <v>161</v>
      </c>
      <c r="AE23" s="1186" t="s">
        <v>162</v>
      </c>
      <c r="AF23" s="1186" t="s">
        <v>163</v>
      </c>
      <c r="AG23" s="1186" t="s">
        <v>164</v>
      </c>
      <c r="AH23" s="1186"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6" t="str">
        <f>IF($G$23=0,"",$G$23)</f>
        <v/>
      </c>
      <c r="AJ23" s="1186" t="str">
        <f>IF($J$23=0,"",$J$23)</f>
        <v/>
      </c>
      <c r="AK23" s="1186" t="str">
        <f>IF($K$23="нет","без дифференциации",IF($N$23=0,"",$N$23))</f>
        <v/>
      </c>
      <c r="AL23" s="1186" t="str">
        <f>IF($O$23="нет","без дифференциации",IF($R$23=0,"",$R$23))</f>
        <v/>
      </c>
      <c r="AM23" s="1186" t="str">
        <f>IF($S$23="нет","без дифференциации",IF($V$23=0,"",$V$23))</f>
        <v/>
      </c>
      <c r="AN23" s="1690">
        <f>$I$23</f>
        <v>0</v>
      </c>
      <c r="AO23" s="1186" t="str">
        <f>$I$23&amp;"."&amp;$M$23</f>
        <v>.</v>
      </c>
      <c r="AP23" s="1185" t="str">
        <f>$I$23&amp;"."&amp;$M$23&amp;"."&amp;$Q$23</f>
        <v>..</v>
      </c>
      <c r="AQ23" s="1185" t="str">
        <f>$I$23&amp;"."&amp;$M$23&amp;"."&amp;$Q$23&amp;"."&amp;$U$23</f>
        <v>...</v>
      </c>
      <c r="AR23" s="1386">
        <v>0</v>
      </c>
    </row>
    <row r="24" spans="1:44" s="2254" customFormat="1" ht="17.25" hidden="1" customHeight="1">
      <c r="A24" s="258"/>
      <c r="C24" s="257"/>
      <c r="D24" s="2371"/>
      <c r="E24" s="2379"/>
      <c r="F24" s="2382"/>
      <c r="G24" s="2379"/>
      <c r="H24" s="2385"/>
      <c r="I24" s="2387"/>
      <c r="J24" s="2389"/>
      <c r="K24" s="2374"/>
      <c r="L24" s="2374"/>
      <c r="M24" s="2374"/>
      <c r="N24" s="2376"/>
      <c r="O24" s="2374"/>
      <c r="P24" s="2374"/>
      <c r="Q24" s="2374"/>
      <c r="R24" s="2377"/>
      <c r="S24" s="2374"/>
      <c r="T24" s="1916"/>
      <c r="U24" s="1916"/>
      <c r="V24" s="1916"/>
      <c r="W24" s="1917"/>
      <c r="X24" s="1185"/>
      <c r="Y24" s="1185"/>
      <c r="Z24" s="1185"/>
      <c r="AA24" s="1185"/>
      <c r="AB24" s="1185"/>
      <c r="AC24" s="1185"/>
      <c r="AD24" s="1185"/>
      <c r="AE24" s="1185"/>
      <c r="AF24" s="1185"/>
      <c r="AG24" s="1185"/>
      <c r="AH24" s="1185"/>
      <c r="AI24" s="1185"/>
      <c r="AJ24" s="1185"/>
      <c r="AK24" s="1185"/>
      <c r="AL24" s="1185"/>
      <c r="AM24" s="1185"/>
      <c r="AN24" s="1185"/>
      <c r="AO24" s="1185"/>
      <c r="AP24" s="1185"/>
      <c r="AQ24" s="1185"/>
      <c r="AR24" s="1386">
        <v>0</v>
      </c>
    </row>
    <row r="25" spans="1:44" s="2254" customFormat="1" ht="17.25" hidden="1" customHeight="1">
      <c r="A25" s="258"/>
      <c r="C25" s="257"/>
      <c r="D25" s="2372"/>
      <c r="E25" s="2380"/>
      <c r="F25" s="2382"/>
      <c r="G25" s="2380"/>
      <c r="H25" s="2385"/>
      <c r="I25" s="2387"/>
      <c r="J25" s="2390"/>
      <c r="K25" s="2374"/>
      <c r="L25" s="2374"/>
      <c r="M25" s="2374"/>
      <c r="N25" s="2377"/>
      <c r="O25" s="2374"/>
      <c r="P25" s="1912"/>
      <c r="Q25" s="1916"/>
      <c r="R25" s="1916"/>
      <c r="S25" s="266"/>
      <c r="T25" s="266"/>
      <c r="U25" s="266"/>
      <c r="V25" s="266"/>
      <c r="W25" s="1917"/>
      <c r="X25" s="1185"/>
      <c r="Y25" s="1185"/>
      <c r="Z25" s="1185"/>
      <c r="AA25" s="1185"/>
      <c r="AB25" s="1185"/>
      <c r="AC25" s="1185"/>
      <c r="AD25" s="1185"/>
      <c r="AE25" s="1185"/>
      <c r="AF25" s="1185"/>
      <c r="AG25" s="1185"/>
      <c r="AH25" s="1185"/>
      <c r="AI25" s="1185"/>
      <c r="AJ25" s="1185"/>
      <c r="AK25" s="1185"/>
      <c r="AL25" s="1185"/>
      <c r="AM25" s="1185"/>
      <c r="AN25" s="1185"/>
      <c r="AO25" s="1185"/>
      <c r="AP25" s="1185"/>
      <c r="AQ25" s="1185"/>
      <c r="AR25" s="1386">
        <v>0</v>
      </c>
    </row>
    <row r="26" spans="1:44" s="2254" customFormat="1" ht="17.25" hidden="1" customHeight="1">
      <c r="A26" s="258"/>
      <c r="C26" s="257"/>
      <c r="D26" s="2372"/>
      <c r="E26" s="2380"/>
      <c r="F26" s="2382"/>
      <c r="G26" s="2380"/>
      <c r="H26" s="2385"/>
      <c r="I26" s="2387"/>
      <c r="J26" s="2390"/>
      <c r="K26" s="2374"/>
      <c r="L26" s="1916"/>
      <c r="M26" s="1916"/>
      <c r="N26" s="1916"/>
      <c r="O26" s="1916"/>
      <c r="P26" s="1916"/>
      <c r="Q26" s="1916"/>
      <c r="R26" s="1916"/>
      <c r="S26" s="266"/>
      <c r="T26" s="266"/>
      <c r="U26" s="266"/>
      <c r="V26" s="266"/>
      <c r="W26" s="1917"/>
      <c r="X26" s="1185"/>
      <c r="Y26" s="1185"/>
      <c r="Z26" s="1185"/>
      <c r="AA26" s="1185"/>
      <c r="AB26" s="1185"/>
      <c r="AC26" s="1185"/>
      <c r="AD26" s="1185"/>
      <c r="AE26" s="1185"/>
      <c r="AF26" s="1185"/>
      <c r="AG26" s="1185"/>
      <c r="AH26" s="1185"/>
      <c r="AI26" s="1185"/>
      <c r="AJ26" s="1185"/>
      <c r="AK26" s="1185"/>
      <c r="AL26" s="1185"/>
      <c r="AM26" s="1185"/>
      <c r="AN26" s="1185"/>
      <c r="AO26" s="1185"/>
      <c r="AP26" s="1185"/>
      <c r="AQ26" s="1185"/>
      <c r="AR26" s="1386">
        <v>0</v>
      </c>
    </row>
    <row r="27" spans="1:44" s="2254" customFormat="1" ht="17.25" hidden="1" customHeight="1">
      <c r="A27" s="258"/>
      <c r="C27" s="257"/>
      <c r="D27" s="2372"/>
      <c r="E27" s="2380"/>
      <c r="F27" s="2383"/>
      <c r="G27" s="2380"/>
      <c r="H27" s="1218"/>
      <c r="I27" s="1914"/>
      <c r="J27" s="1914"/>
      <c r="K27" s="1914"/>
      <c r="L27" s="1914"/>
      <c r="M27" s="1914"/>
      <c r="N27" s="1914"/>
      <c r="O27" s="1914"/>
      <c r="P27" s="1914"/>
      <c r="Q27" s="1914"/>
      <c r="R27" s="1914"/>
      <c r="S27" s="1220"/>
      <c r="T27" s="1220"/>
      <c r="U27" s="1220"/>
      <c r="V27" s="1220"/>
      <c r="W27" s="1915"/>
      <c r="X27" s="1185"/>
      <c r="Y27" s="1185"/>
      <c r="Z27" s="1185"/>
      <c r="AA27" s="1185"/>
      <c r="AB27" s="1185"/>
      <c r="AC27" s="1185"/>
      <c r="AD27" s="1185"/>
      <c r="AE27" s="1185"/>
      <c r="AF27" s="1185"/>
      <c r="AG27" s="1185"/>
      <c r="AH27" s="1185"/>
      <c r="AI27" s="1185"/>
      <c r="AJ27" s="1185"/>
      <c r="AK27" s="1185"/>
      <c r="AL27" s="1185"/>
      <c r="AM27" s="1185"/>
      <c r="AN27" s="1185"/>
      <c r="AO27" s="1185"/>
      <c r="AP27" s="1185"/>
      <c r="AQ27" s="1185"/>
      <c r="AR27" s="1386">
        <v>0</v>
      </c>
    </row>
    <row r="28" spans="1:44" s="2254" customFormat="1" ht="17.25" hidden="1" customHeight="1">
      <c r="A28" s="258"/>
      <c r="C28" s="146"/>
      <c r="D28" s="2371">
        <v>3</v>
      </c>
      <c r="E28" s="2379" t="s">
        <v>166</v>
      </c>
      <c r="F28" s="2381" t="s">
        <v>19</v>
      </c>
      <c r="G28" s="2379"/>
      <c r="H28" s="2384"/>
      <c r="I28" s="2386"/>
      <c r="J28" s="2388"/>
      <c r="K28" s="2373"/>
      <c r="L28" s="2373"/>
      <c r="M28" s="2373"/>
      <c r="N28" s="2375"/>
      <c r="O28" s="2373"/>
      <c r="P28" s="2373"/>
      <c r="Q28" s="2373"/>
      <c r="R28" s="2378"/>
      <c r="S28" s="2373"/>
      <c r="T28" s="1339"/>
      <c r="U28" s="1339"/>
      <c r="V28" s="1338"/>
      <c r="W28" s="1215"/>
      <c r="X28" s="1186"/>
      <c r="Y28" s="1186"/>
      <c r="Z28" s="1186"/>
      <c r="AA28" s="1186"/>
      <c r="AB28" s="1186"/>
      <c r="AC28" s="1186" t="s">
        <v>167</v>
      </c>
      <c r="AD28" s="1186" t="s">
        <v>168</v>
      </c>
      <c r="AE28" s="1186" t="s">
        <v>169</v>
      </c>
      <c r="AF28" s="1186" t="s">
        <v>170</v>
      </c>
      <c r="AG28" s="1186" t="s">
        <v>171</v>
      </c>
      <c r="AH28" s="1186" t="str">
        <f>IF($E$28=0,"",$E$28)</f>
        <v>Тарифы на теплоноситель, поставляемый теплоснабжающими организациями потребителям, другим теплоснабжающим организациям</v>
      </c>
      <c r="AI28" s="1186" t="str">
        <f>IF($G$28=0,"",$G$28)</f>
        <v/>
      </c>
      <c r="AJ28" s="1186" t="str">
        <f>IF($J$28=0,"",$J$28)</f>
        <v/>
      </c>
      <c r="AK28" s="1186" t="str">
        <f>IF($K$28="нет","без дифференциации",IF($N$28=0,"",$N$28))</f>
        <v/>
      </c>
      <c r="AL28" s="1186" t="str">
        <f>IF($O$28="нет","без дифференциации",IF($R$28=0,"",$R$28))</f>
        <v/>
      </c>
      <c r="AM28" s="1186" t="str">
        <f>IF($S$28="нет","без дифференциации",IF($V$28=0,"",$V$28))</f>
        <v/>
      </c>
      <c r="AN28" s="1690">
        <f>$I$28</f>
        <v>0</v>
      </c>
      <c r="AO28" s="1186" t="str">
        <f>$I$28&amp;"."&amp;$M$28</f>
        <v>.</v>
      </c>
      <c r="AP28" s="1178" t="str">
        <f>$I$28&amp;"."&amp;$M$28&amp;"."&amp;$Q$28</f>
        <v>..</v>
      </c>
      <c r="AQ28" s="1178" t="str">
        <f>$I$28&amp;"."&amp;$M$28&amp;"."&amp;$Q$28&amp;"."&amp;$U$28</f>
        <v>...</v>
      </c>
      <c r="AR28" s="1202">
        <v>0</v>
      </c>
    </row>
    <row r="29" spans="1:44" s="2254" customFormat="1" ht="17.25" hidden="1" customHeight="1">
      <c r="A29" s="258"/>
      <c r="C29" s="257"/>
      <c r="D29" s="2371"/>
      <c r="E29" s="2379"/>
      <c r="F29" s="2382"/>
      <c r="G29" s="2379"/>
      <c r="H29" s="2385"/>
      <c r="I29" s="2387"/>
      <c r="J29" s="2389"/>
      <c r="K29" s="2374"/>
      <c r="L29" s="2374"/>
      <c r="M29" s="2374"/>
      <c r="N29" s="2376"/>
      <c r="O29" s="2374"/>
      <c r="P29" s="2374"/>
      <c r="Q29" s="2374"/>
      <c r="R29" s="2377"/>
      <c r="S29" s="2374"/>
      <c r="T29" s="1216"/>
      <c r="U29" s="1216"/>
      <c r="V29" s="1216"/>
      <c r="W29" s="1217"/>
      <c r="X29" s="1178"/>
      <c r="Y29" s="1178"/>
      <c r="Z29" s="1178"/>
      <c r="AA29" s="1178"/>
      <c r="AB29" s="1178"/>
      <c r="AC29" s="1178"/>
      <c r="AD29" s="1178"/>
      <c r="AE29" s="1178"/>
      <c r="AF29" s="1178"/>
      <c r="AG29" s="1178"/>
      <c r="AH29" s="1178"/>
      <c r="AI29" s="1178"/>
      <c r="AJ29" s="1178"/>
      <c r="AK29" s="1178"/>
      <c r="AL29" s="1178"/>
      <c r="AM29" s="1178"/>
      <c r="AN29" s="1178"/>
      <c r="AO29" s="1178"/>
      <c r="AP29" s="1178"/>
      <c r="AQ29" s="1178"/>
      <c r="AR29" s="1202">
        <v>0</v>
      </c>
    </row>
    <row r="30" spans="1:44" s="2254" customFormat="1" ht="17.25" hidden="1" customHeight="1">
      <c r="A30" s="258"/>
      <c r="C30" s="257"/>
      <c r="D30" s="2372"/>
      <c r="E30" s="2380"/>
      <c r="F30" s="2382"/>
      <c r="G30" s="2380"/>
      <c r="H30" s="2385"/>
      <c r="I30" s="2387"/>
      <c r="J30" s="2390"/>
      <c r="K30" s="2374"/>
      <c r="L30" s="2374"/>
      <c r="M30" s="2374"/>
      <c r="N30" s="2377"/>
      <c r="O30" s="2374"/>
      <c r="P30" s="1337"/>
      <c r="Q30" s="1216"/>
      <c r="R30" s="1216"/>
      <c r="S30" s="266"/>
      <c r="T30" s="266"/>
      <c r="U30" s="266"/>
      <c r="V30" s="266"/>
      <c r="W30" s="1217"/>
      <c r="X30" s="1178"/>
      <c r="Y30" s="1178"/>
      <c r="Z30" s="1178"/>
      <c r="AA30" s="1178"/>
      <c r="AB30" s="1178"/>
      <c r="AC30" s="1178"/>
      <c r="AD30" s="1178"/>
      <c r="AE30" s="1178"/>
      <c r="AF30" s="1178"/>
      <c r="AG30" s="1178"/>
      <c r="AH30" s="1178"/>
      <c r="AI30" s="1178"/>
      <c r="AJ30" s="1178"/>
      <c r="AK30" s="1178"/>
      <c r="AL30" s="1178"/>
      <c r="AM30" s="1178"/>
      <c r="AN30" s="1178"/>
      <c r="AO30" s="1178"/>
      <c r="AP30" s="1178"/>
      <c r="AQ30" s="1178"/>
      <c r="AR30" s="1202">
        <v>0</v>
      </c>
    </row>
    <row r="31" spans="1:44" s="2254" customFormat="1" ht="17.25" hidden="1" customHeight="1">
      <c r="A31" s="258"/>
      <c r="C31" s="257"/>
      <c r="D31" s="2372"/>
      <c r="E31" s="2380"/>
      <c r="F31" s="2382"/>
      <c r="G31" s="2380"/>
      <c r="H31" s="2385"/>
      <c r="I31" s="2387"/>
      <c r="J31" s="2390"/>
      <c r="K31" s="2374"/>
      <c r="L31" s="1216"/>
      <c r="M31" s="1216"/>
      <c r="N31" s="1216"/>
      <c r="O31" s="1216"/>
      <c r="P31" s="1216"/>
      <c r="Q31" s="1216"/>
      <c r="R31" s="1216"/>
      <c r="S31" s="266"/>
      <c r="T31" s="266"/>
      <c r="U31" s="266"/>
      <c r="V31" s="266"/>
      <c r="W31" s="1217"/>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202">
        <v>0</v>
      </c>
    </row>
    <row r="32" spans="1:44" s="2254" customFormat="1" ht="17.25" hidden="1" customHeight="1">
      <c r="A32" s="258"/>
      <c r="C32" s="257"/>
      <c r="D32" s="2372"/>
      <c r="E32" s="2380"/>
      <c r="F32" s="2383"/>
      <c r="G32" s="2380"/>
      <c r="H32" s="1218"/>
      <c r="I32" s="1219"/>
      <c r="J32" s="1219"/>
      <c r="K32" s="1219"/>
      <c r="L32" s="1219"/>
      <c r="M32" s="1219"/>
      <c r="N32" s="1219"/>
      <c r="O32" s="1219"/>
      <c r="P32" s="1219"/>
      <c r="Q32" s="1219"/>
      <c r="R32" s="1219"/>
      <c r="S32" s="1220"/>
      <c r="T32" s="1220"/>
      <c r="U32" s="1220"/>
      <c r="V32" s="1220"/>
      <c r="W32" s="1221"/>
      <c r="X32" s="1178"/>
      <c r="Y32" s="1178"/>
      <c r="Z32" s="1178"/>
      <c r="AA32" s="1178"/>
      <c r="AB32" s="1178"/>
      <c r="AC32" s="1178"/>
      <c r="AD32" s="1178"/>
      <c r="AE32" s="1178"/>
      <c r="AF32" s="1178"/>
      <c r="AG32" s="1178"/>
      <c r="AH32" s="1178"/>
      <c r="AI32" s="1178"/>
      <c r="AJ32" s="1178"/>
      <c r="AK32" s="1178"/>
      <c r="AL32" s="1178"/>
      <c r="AM32" s="1178"/>
      <c r="AN32" s="1178"/>
      <c r="AO32" s="1178"/>
      <c r="AP32" s="1178"/>
      <c r="AQ32" s="1178"/>
      <c r="AR32" s="1202">
        <v>0</v>
      </c>
    </row>
    <row r="33" spans="1:44" s="2254" customFormat="1" ht="17.25" hidden="1" customHeight="1">
      <c r="A33" s="258"/>
      <c r="C33" s="146"/>
      <c r="D33" s="2371">
        <v>4</v>
      </c>
      <c r="E33" s="2379" t="s">
        <v>172</v>
      </c>
      <c r="F33" s="2381" t="s">
        <v>19</v>
      </c>
      <c r="G33" s="2379"/>
      <c r="H33" s="2384"/>
      <c r="I33" s="2386"/>
      <c r="J33" s="2388"/>
      <c r="K33" s="2373"/>
      <c r="L33" s="2373"/>
      <c r="M33" s="2373"/>
      <c r="N33" s="2375"/>
      <c r="O33" s="2373"/>
      <c r="P33" s="2373"/>
      <c r="Q33" s="2373"/>
      <c r="R33" s="2378"/>
      <c r="S33" s="2373"/>
      <c r="T33" s="1339"/>
      <c r="U33" s="1339"/>
      <c r="V33" s="1338"/>
      <c r="W33" s="1215"/>
      <c r="X33" s="1186"/>
      <c r="Y33" s="1186"/>
      <c r="Z33" s="1186"/>
      <c r="AA33" s="1186"/>
      <c r="AB33" s="1186"/>
      <c r="AC33" s="1186" t="s">
        <v>173</v>
      </c>
      <c r="AD33" s="1186" t="s">
        <v>174</v>
      </c>
      <c r="AE33" s="1186" t="s">
        <v>175</v>
      </c>
      <c r="AF33" s="1186" t="s">
        <v>176</v>
      </c>
      <c r="AG33" s="1186" t="s">
        <v>177</v>
      </c>
      <c r="AH33" s="118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6" t="str">
        <f>IF($G$33=0,"",$G$33)</f>
        <v/>
      </c>
      <c r="AJ33" s="1186" t="str">
        <f>IF($J$33=0,"",$J$33)</f>
        <v/>
      </c>
      <c r="AK33" s="1186" t="str">
        <f>IF($K$33="нет","без дифференциации",IF($N$33=0,"",$N$33))</f>
        <v/>
      </c>
      <c r="AL33" s="1186" t="str">
        <f>IF($O$33="нет","без дифференциации",IF($R$33=0,"",$R$33))</f>
        <v/>
      </c>
      <c r="AM33" s="1186" t="str">
        <f>IF($S$33="нет","без дифференциации",IF($V$33=0,"",$V$33))</f>
        <v/>
      </c>
      <c r="AN33" s="1690">
        <f>$I$33</f>
        <v>0</v>
      </c>
      <c r="AO33" s="1186" t="str">
        <f>$I$33&amp;"."&amp;$M$33</f>
        <v>.</v>
      </c>
      <c r="AP33" s="1178" t="str">
        <f>$I$33&amp;"."&amp;$M$33&amp;"."&amp;$Q$33</f>
        <v>..</v>
      </c>
      <c r="AQ33" s="1178" t="str">
        <f>$I$33&amp;"."&amp;$M$33&amp;"."&amp;$Q$33&amp;"."&amp;$U$33</f>
        <v>...</v>
      </c>
      <c r="AR33" s="1202">
        <v>0</v>
      </c>
    </row>
    <row r="34" spans="1:44" s="2254" customFormat="1" ht="17.25" hidden="1" customHeight="1">
      <c r="A34" s="258"/>
      <c r="C34" s="257"/>
      <c r="D34" s="2371"/>
      <c r="E34" s="2379"/>
      <c r="F34" s="2382"/>
      <c r="G34" s="2379"/>
      <c r="H34" s="2385"/>
      <c r="I34" s="2387"/>
      <c r="J34" s="2389"/>
      <c r="K34" s="2374"/>
      <c r="L34" s="2374"/>
      <c r="M34" s="2374"/>
      <c r="N34" s="2376"/>
      <c r="O34" s="2374"/>
      <c r="P34" s="2374"/>
      <c r="Q34" s="2374"/>
      <c r="R34" s="2377"/>
      <c r="S34" s="2374"/>
      <c r="T34" s="1216"/>
      <c r="U34" s="1216"/>
      <c r="V34" s="1216"/>
      <c r="W34" s="1217"/>
      <c r="X34" s="1178"/>
      <c r="Y34" s="1178"/>
      <c r="Z34" s="1178"/>
      <c r="AA34" s="1178"/>
      <c r="AB34" s="1178"/>
      <c r="AC34" s="1178"/>
      <c r="AD34" s="1178"/>
      <c r="AE34" s="1178"/>
      <c r="AF34" s="1178"/>
      <c r="AG34" s="1178"/>
      <c r="AH34" s="1178"/>
      <c r="AI34" s="1178"/>
      <c r="AJ34" s="1178"/>
      <c r="AK34" s="1178"/>
      <c r="AL34" s="1178"/>
      <c r="AM34" s="1178"/>
      <c r="AN34" s="1178"/>
      <c r="AO34" s="1178"/>
      <c r="AP34" s="1178"/>
      <c r="AQ34" s="1178"/>
      <c r="AR34" s="1202">
        <v>0</v>
      </c>
    </row>
    <row r="35" spans="1:44" s="2254" customFormat="1" ht="17.25" hidden="1" customHeight="1">
      <c r="A35" s="258"/>
      <c r="C35" s="257"/>
      <c r="D35" s="2372"/>
      <c r="E35" s="2380"/>
      <c r="F35" s="2382"/>
      <c r="G35" s="2380"/>
      <c r="H35" s="2385"/>
      <c r="I35" s="2387"/>
      <c r="J35" s="2390"/>
      <c r="K35" s="2374"/>
      <c r="L35" s="2374"/>
      <c r="M35" s="2374"/>
      <c r="N35" s="2377"/>
      <c r="O35" s="2374"/>
      <c r="P35" s="1337"/>
      <c r="Q35" s="1216"/>
      <c r="R35" s="1216"/>
      <c r="S35" s="266"/>
      <c r="T35" s="266"/>
      <c r="U35" s="266"/>
      <c r="V35" s="266"/>
      <c r="W35" s="1217"/>
      <c r="X35" s="1178"/>
      <c r="Y35" s="1178"/>
      <c r="Z35" s="1178"/>
      <c r="AA35" s="1178"/>
      <c r="AB35" s="1178"/>
      <c r="AC35" s="1178"/>
      <c r="AD35" s="1178"/>
      <c r="AE35" s="1178"/>
      <c r="AF35" s="1178"/>
      <c r="AG35" s="1178"/>
      <c r="AH35" s="1178"/>
      <c r="AI35" s="1178"/>
      <c r="AJ35" s="1178"/>
      <c r="AK35" s="1178"/>
      <c r="AL35" s="1178"/>
      <c r="AM35" s="1178"/>
      <c r="AN35" s="1178"/>
      <c r="AO35" s="1178"/>
      <c r="AP35" s="1178"/>
      <c r="AQ35" s="1178"/>
      <c r="AR35" s="1202">
        <v>0</v>
      </c>
    </row>
    <row r="36" spans="1:44" s="2254" customFormat="1" ht="17.25" hidden="1" customHeight="1">
      <c r="A36" s="258"/>
      <c r="C36" s="257"/>
      <c r="D36" s="2372"/>
      <c r="E36" s="2380"/>
      <c r="F36" s="2382"/>
      <c r="G36" s="2380"/>
      <c r="H36" s="2385"/>
      <c r="I36" s="2387"/>
      <c r="J36" s="2390"/>
      <c r="K36" s="2374"/>
      <c r="L36" s="1216"/>
      <c r="M36" s="1216"/>
      <c r="N36" s="1216"/>
      <c r="O36" s="1216"/>
      <c r="P36" s="1216"/>
      <c r="Q36" s="1216"/>
      <c r="R36" s="1216"/>
      <c r="S36" s="266"/>
      <c r="T36" s="266"/>
      <c r="U36" s="266"/>
      <c r="V36" s="266"/>
      <c r="W36" s="1217"/>
      <c r="X36" s="1178"/>
      <c r="Y36" s="1178"/>
      <c r="Z36" s="1178"/>
      <c r="AA36" s="1178"/>
      <c r="AB36" s="1178"/>
      <c r="AC36" s="1178"/>
      <c r="AD36" s="1178"/>
      <c r="AE36" s="1178"/>
      <c r="AF36" s="1178"/>
      <c r="AG36" s="1178"/>
      <c r="AH36" s="1178"/>
      <c r="AI36" s="1178"/>
      <c r="AJ36" s="1178"/>
      <c r="AK36" s="1178"/>
      <c r="AL36" s="1178"/>
      <c r="AM36" s="1178"/>
      <c r="AN36" s="1178"/>
      <c r="AO36" s="1178"/>
      <c r="AP36" s="1178"/>
      <c r="AQ36" s="1178"/>
      <c r="AR36" s="1202">
        <v>0</v>
      </c>
    </row>
    <row r="37" spans="1:44" s="2254" customFormat="1" ht="17.25" hidden="1" customHeight="1">
      <c r="A37" s="258"/>
      <c r="C37" s="257"/>
      <c r="D37" s="2372"/>
      <c r="E37" s="2380"/>
      <c r="F37" s="2383"/>
      <c r="G37" s="2380"/>
      <c r="H37" s="1218"/>
      <c r="I37" s="1219"/>
      <c r="J37" s="1219"/>
      <c r="K37" s="1219"/>
      <c r="L37" s="1219"/>
      <c r="M37" s="1219"/>
      <c r="N37" s="1219"/>
      <c r="O37" s="1219"/>
      <c r="P37" s="1219"/>
      <c r="Q37" s="1219"/>
      <c r="R37" s="1219"/>
      <c r="S37" s="1220"/>
      <c r="T37" s="1220"/>
      <c r="U37" s="1220"/>
      <c r="V37" s="1220"/>
      <c r="W37" s="1221"/>
      <c r="X37" s="1178"/>
      <c r="Y37" s="1178"/>
      <c r="Z37" s="1178"/>
      <c r="AA37" s="1178"/>
      <c r="AB37" s="1178"/>
      <c r="AC37" s="1178"/>
      <c r="AD37" s="1178"/>
      <c r="AE37" s="1178"/>
      <c r="AF37" s="1178"/>
      <c r="AG37" s="1178"/>
      <c r="AH37" s="1178"/>
      <c r="AI37" s="1178"/>
      <c r="AJ37" s="1178"/>
      <c r="AK37" s="1178"/>
      <c r="AL37" s="1178"/>
      <c r="AM37" s="1178"/>
      <c r="AN37" s="1178"/>
      <c r="AO37" s="1178"/>
      <c r="AP37" s="1178"/>
      <c r="AQ37" s="1178"/>
      <c r="AR37" s="1202">
        <v>0</v>
      </c>
    </row>
    <row r="38" spans="1:44" s="2254" customFormat="1" ht="17.25" hidden="1" customHeight="1">
      <c r="A38" s="258"/>
      <c r="C38" s="146"/>
      <c r="D38" s="2371">
        <v>5</v>
      </c>
      <c r="E38" s="2379" t="s">
        <v>178</v>
      </c>
      <c r="F38" s="2381" t="s">
        <v>19</v>
      </c>
      <c r="G38" s="2379"/>
      <c r="H38" s="2384"/>
      <c r="I38" s="2386"/>
      <c r="J38" s="2388"/>
      <c r="K38" s="2373"/>
      <c r="L38" s="2373"/>
      <c r="M38" s="2373"/>
      <c r="N38" s="2375"/>
      <c r="O38" s="2373"/>
      <c r="P38" s="2373"/>
      <c r="Q38" s="2373"/>
      <c r="R38" s="2378"/>
      <c r="S38" s="2373"/>
      <c r="T38" s="1339"/>
      <c r="U38" s="1339"/>
      <c r="V38" s="1338"/>
      <c r="W38" s="1215"/>
      <c r="X38" s="1186"/>
      <c r="Y38" s="1186"/>
      <c r="Z38" s="1186"/>
      <c r="AA38" s="1186"/>
      <c r="AB38" s="1186"/>
      <c r="AC38" s="1186" t="s">
        <v>179</v>
      </c>
      <c r="AD38" s="1186" t="s">
        <v>180</v>
      </c>
      <c r="AE38" s="1186" t="s">
        <v>181</v>
      </c>
      <c r="AF38" s="1186" t="s">
        <v>182</v>
      </c>
      <c r="AG38" s="1186" t="s">
        <v>183</v>
      </c>
      <c r="AH38" s="1186" t="str">
        <f>IF($E$38=0,"",$E$38)</f>
        <v>Тарифы на услуги по передаче тепловой энергии</v>
      </c>
      <c r="AI38" s="1186" t="str">
        <f>IF($G$38=0,"",$G$38)</f>
        <v/>
      </c>
      <c r="AJ38" s="1186" t="str">
        <f>IF($J$38=0,"",$J$38)</f>
        <v/>
      </c>
      <c r="AK38" s="1186" t="str">
        <f>IF($K$38="нет","без дифференциации",IF($N$38=0,"",$N$38))</f>
        <v/>
      </c>
      <c r="AL38" s="1186" t="str">
        <f>IF($O$38="нет","без дифференциации",IF($R$38=0,"",$R$38))</f>
        <v/>
      </c>
      <c r="AM38" s="1186" t="str">
        <f>IF($S$38="нет","без дифференциации",IF($V$38=0,"",$V$38))</f>
        <v/>
      </c>
      <c r="AN38" s="1690">
        <f>$I$38</f>
        <v>0</v>
      </c>
      <c r="AO38" s="1186" t="str">
        <f>$I$38&amp;"."&amp;$M$38</f>
        <v>.</v>
      </c>
      <c r="AP38" s="1178" t="str">
        <f>$I$38&amp;"."&amp;$M$38&amp;"."&amp;$Q$38</f>
        <v>..</v>
      </c>
      <c r="AQ38" s="1178" t="str">
        <f>$I$38&amp;"."&amp;$M$38&amp;"."&amp;$Q$38&amp;"."&amp;$U$38</f>
        <v>...</v>
      </c>
      <c r="AR38" s="1202">
        <v>0</v>
      </c>
    </row>
    <row r="39" spans="1:44" s="2254" customFormat="1" ht="17.25" hidden="1" customHeight="1">
      <c r="A39" s="258"/>
      <c r="C39" s="257"/>
      <c r="D39" s="2371"/>
      <c r="E39" s="2379"/>
      <c r="F39" s="2382"/>
      <c r="G39" s="2379"/>
      <c r="H39" s="2385"/>
      <c r="I39" s="2387"/>
      <c r="J39" s="2389"/>
      <c r="K39" s="2374"/>
      <c r="L39" s="2374"/>
      <c r="M39" s="2374"/>
      <c r="N39" s="2376"/>
      <c r="O39" s="2374"/>
      <c r="P39" s="2374"/>
      <c r="Q39" s="2374"/>
      <c r="R39" s="2377"/>
      <c r="S39" s="2374"/>
      <c r="T39" s="1216"/>
      <c r="U39" s="1216"/>
      <c r="V39" s="1216"/>
      <c r="W39" s="1217"/>
      <c r="X39" s="1178"/>
      <c r="Y39" s="1178"/>
      <c r="Z39" s="1178"/>
      <c r="AA39" s="1178"/>
      <c r="AB39" s="1178"/>
      <c r="AC39" s="1178"/>
      <c r="AD39" s="1178"/>
      <c r="AE39" s="1178"/>
      <c r="AF39" s="1178"/>
      <c r="AG39" s="1178"/>
      <c r="AH39" s="1178"/>
      <c r="AI39" s="1178"/>
      <c r="AJ39" s="1178"/>
      <c r="AK39" s="1178"/>
      <c r="AL39" s="1178"/>
      <c r="AM39" s="1178"/>
      <c r="AN39" s="1178"/>
      <c r="AO39" s="1178"/>
      <c r="AP39" s="1178"/>
      <c r="AQ39" s="1178"/>
      <c r="AR39" s="1202">
        <v>0</v>
      </c>
    </row>
    <row r="40" spans="1:44" s="2254" customFormat="1" ht="17.25" hidden="1" customHeight="1">
      <c r="A40" s="258"/>
      <c r="C40" s="257"/>
      <c r="D40" s="2372"/>
      <c r="E40" s="2380"/>
      <c r="F40" s="2382"/>
      <c r="G40" s="2380"/>
      <c r="H40" s="2385"/>
      <c r="I40" s="2387"/>
      <c r="J40" s="2390"/>
      <c r="K40" s="2374"/>
      <c r="L40" s="2374"/>
      <c r="M40" s="2374"/>
      <c r="N40" s="2377"/>
      <c r="O40" s="2374"/>
      <c r="P40" s="1337"/>
      <c r="Q40" s="1216"/>
      <c r="R40" s="1216"/>
      <c r="S40" s="266"/>
      <c r="T40" s="266"/>
      <c r="U40" s="266"/>
      <c r="V40" s="266"/>
      <c r="W40" s="1217"/>
      <c r="X40" s="1178"/>
      <c r="Y40" s="1178"/>
      <c r="Z40" s="1178"/>
      <c r="AA40" s="1178"/>
      <c r="AB40" s="1178"/>
      <c r="AC40" s="1178"/>
      <c r="AD40" s="1178"/>
      <c r="AE40" s="1178"/>
      <c r="AF40" s="1178"/>
      <c r="AG40" s="1178"/>
      <c r="AH40" s="1178"/>
      <c r="AI40" s="1178"/>
      <c r="AJ40" s="1178"/>
      <c r="AK40" s="1178"/>
      <c r="AL40" s="1178"/>
      <c r="AM40" s="1178"/>
      <c r="AN40" s="1178"/>
      <c r="AO40" s="1178"/>
      <c r="AP40" s="1178"/>
      <c r="AQ40" s="1178"/>
      <c r="AR40" s="1202">
        <v>0</v>
      </c>
    </row>
    <row r="41" spans="1:44" s="2254" customFormat="1" ht="17.25" hidden="1" customHeight="1">
      <c r="A41" s="258"/>
      <c r="C41" s="257"/>
      <c r="D41" s="2372"/>
      <c r="E41" s="2380"/>
      <c r="F41" s="2382"/>
      <c r="G41" s="2380"/>
      <c r="H41" s="2385"/>
      <c r="I41" s="2387"/>
      <c r="J41" s="2390"/>
      <c r="K41" s="2374"/>
      <c r="L41" s="1216"/>
      <c r="M41" s="1216"/>
      <c r="N41" s="1216"/>
      <c r="O41" s="1216"/>
      <c r="P41" s="1216"/>
      <c r="Q41" s="1216"/>
      <c r="R41" s="1216"/>
      <c r="S41" s="266"/>
      <c r="T41" s="266"/>
      <c r="U41" s="266"/>
      <c r="V41" s="266"/>
      <c r="W41" s="1217"/>
      <c r="X41" s="1178"/>
      <c r="Y41" s="1178"/>
      <c r="Z41" s="1178"/>
      <c r="AA41" s="1178"/>
      <c r="AB41" s="1178"/>
      <c r="AC41" s="1178"/>
      <c r="AD41" s="1178"/>
      <c r="AE41" s="1178"/>
      <c r="AF41" s="1178"/>
      <c r="AG41" s="1178"/>
      <c r="AH41" s="1178"/>
      <c r="AI41" s="1178"/>
      <c r="AJ41" s="1178"/>
      <c r="AK41" s="1178"/>
      <c r="AL41" s="1178"/>
      <c r="AM41" s="1178"/>
      <c r="AN41" s="1178"/>
      <c r="AO41" s="1178"/>
      <c r="AP41" s="1178"/>
      <c r="AQ41" s="1178"/>
      <c r="AR41" s="1202">
        <v>0</v>
      </c>
    </row>
    <row r="42" spans="1:44" s="2254" customFormat="1" ht="17.25" hidden="1" customHeight="1">
      <c r="A42" s="258"/>
      <c r="C42" s="257"/>
      <c r="D42" s="2372"/>
      <c r="E42" s="2380"/>
      <c r="F42" s="2383"/>
      <c r="G42" s="2380"/>
      <c r="H42" s="1218"/>
      <c r="I42" s="1219"/>
      <c r="J42" s="1219"/>
      <c r="K42" s="1219"/>
      <c r="L42" s="1219"/>
      <c r="M42" s="1219"/>
      <c r="N42" s="1219"/>
      <c r="O42" s="1219"/>
      <c r="P42" s="1219"/>
      <c r="Q42" s="1219"/>
      <c r="R42" s="1219"/>
      <c r="S42" s="1220"/>
      <c r="T42" s="1220"/>
      <c r="U42" s="1220"/>
      <c r="V42" s="1220"/>
      <c r="W42" s="1221"/>
      <c r="X42" s="1178"/>
      <c r="Y42" s="1178"/>
      <c r="Z42" s="1178"/>
      <c r="AA42" s="1178"/>
      <c r="AB42" s="1178"/>
      <c r="AC42" s="1178"/>
      <c r="AD42" s="1178"/>
      <c r="AE42" s="1178"/>
      <c r="AF42" s="1178"/>
      <c r="AG42" s="1178"/>
      <c r="AH42" s="1178"/>
      <c r="AI42" s="1178"/>
      <c r="AJ42" s="1178"/>
      <c r="AK42" s="1178"/>
      <c r="AL42" s="1178"/>
      <c r="AM42" s="1178"/>
      <c r="AN42" s="1178"/>
      <c r="AO42" s="1178"/>
      <c r="AP42" s="1178"/>
      <c r="AQ42" s="1178"/>
      <c r="AR42" s="1202">
        <v>0</v>
      </c>
    </row>
    <row r="43" spans="1:44" s="2254" customFormat="1" ht="17.25" hidden="1" customHeight="1">
      <c r="A43" s="258"/>
      <c r="C43" s="146"/>
      <c r="D43" s="2371">
        <v>6</v>
      </c>
      <c r="E43" s="2379" t="s">
        <v>184</v>
      </c>
      <c r="F43" s="2381" t="s">
        <v>19</v>
      </c>
      <c r="G43" s="2379"/>
      <c r="H43" s="2384"/>
      <c r="I43" s="2386"/>
      <c r="J43" s="2388"/>
      <c r="K43" s="2373"/>
      <c r="L43" s="2373"/>
      <c r="M43" s="2373"/>
      <c r="N43" s="2375"/>
      <c r="O43" s="2373"/>
      <c r="P43" s="2373"/>
      <c r="Q43" s="2373"/>
      <c r="R43" s="2378"/>
      <c r="S43" s="2373"/>
      <c r="T43" s="1339"/>
      <c r="U43" s="1339"/>
      <c r="V43" s="1338"/>
      <c r="W43" s="1215"/>
      <c r="X43" s="1186"/>
      <c r="Y43" s="1186"/>
      <c r="Z43" s="1186"/>
      <c r="AA43" s="1186"/>
      <c r="AB43" s="1186"/>
      <c r="AC43" s="1186" t="s">
        <v>185</v>
      </c>
      <c r="AD43" s="1186" t="s">
        <v>186</v>
      </c>
      <c r="AE43" s="1186" t="s">
        <v>187</v>
      </c>
      <c r="AF43" s="1186" t="s">
        <v>188</v>
      </c>
      <c r="AG43" s="1186" t="s">
        <v>189</v>
      </c>
      <c r="AH43" s="1186" t="str">
        <f>IF($E$43=0,"",$E$43)</f>
        <v>Тарифы на услуги по передаче теплоносителя</v>
      </c>
      <c r="AI43" s="1186" t="str">
        <f>IF($G$43=0,"",$G$43)</f>
        <v/>
      </c>
      <c r="AJ43" s="1186" t="str">
        <f>IF($J$43=0,"",$J$43)</f>
        <v/>
      </c>
      <c r="AK43" s="1186" t="str">
        <f>IF($K$43="нет","без дифференциации",IF($N$43=0,"",$N$43))</f>
        <v/>
      </c>
      <c r="AL43" s="1186" t="str">
        <f>IF($O$43="нет","без дифференциации",IF($R$43=0,"",$R$43))</f>
        <v/>
      </c>
      <c r="AM43" s="1186" t="str">
        <f>IF($S$43="нет","без дифференциации",IF($V$43=0,"",$V$43))</f>
        <v/>
      </c>
      <c r="AN43" s="1690">
        <f>$I$43</f>
        <v>0</v>
      </c>
      <c r="AO43" s="1186" t="str">
        <f>$I$43&amp;"."&amp;$M$43</f>
        <v>.</v>
      </c>
      <c r="AP43" s="1178" t="str">
        <f>$I$43&amp;"."&amp;$M$43&amp;"."&amp;$Q$43</f>
        <v>..</v>
      </c>
      <c r="AQ43" s="1178" t="str">
        <f>$I$43&amp;"."&amp;$M$43&amp;"."&amp;$Q$43&amp;"."&amp;$U$43</f>
        <v>...</v>
      </c>
      <c r="AR43" s="1202">
        <v>0</v>
      </c>
    </row>
    <row r="44" spans="1:44" s="2254" customFormat="1" ht="17.25" hidden="1" customHeight="1">
      <c r="A44" s="258"/>
      <c r="C44" s="257"/>
      <c r="D44" s="2371"/>
      <c r="E44" s="2379"/>
      <c r="F44" s="2382"/>
      <c r="G44" s="2379"/>
      <c r="H44" s="2385"/>
      <c r="I44" s="2387"/>
      <c r="J44" s="2389"/>
      <c r="K44" s="2374"/>
      <c r="L44" s="2374"/>
      <c r="M44" s="2374"/>
      <c r="N44" s="2376"/>
      <c r="O44" s="2374"/>
      <c r="P44" s="2374"/>
      <c r="Q44" s="2374"/>
      <c r="R44" s="2377"/>
      <c r="S44" s="2374"/>
      <c r="T44" s="1216"/>
      <c r="U44" s="1216"/>
      <c r="V44" s="1216"/>
      <c r="W44" s="1217"/>
      <c r="X44" s="1178"/>
      <c r="Y44" s="1178"/>
      <c r="Z44" s="1178"/>
      <c r="AA44" s="1178"/>
      <c r="AB44" s="1178"/>
      <c r="AC44" s="1178"/>
      <c r="AD44" s="1178"/>
      <c r="AE44" s="1178"/>
      <c r="AF44" s="1178"/>
      <c r="AG44" s="1178"/>
      <c r="AH44" s="1178"/>
      <c r="AI44" s="1178"/>
      <c r="AJ44" s="1178"/>
      <c r="AK44" s="1178"/>
      <c r="AL44" s="1178"/>
      <c r="AM44" s="1178"/>
      <c r="AN44" s="1178"/>
      <c r="AO44" s="1178"/>
      <c r="AP44" s="1178"/>
      <c r="AQ44" s="1178"/>
      <c r="AR44" s="1202">
        <v>0</v>
      </c>
    </row>
    <row r="45" spans="1:44" s="2254" customFormat="1" ht="17.25" hidden="1" customHeight="1">
      <c r="A45" s="258"/>
      <c r="C45" s="257"/>
      <c r="D45" s="2372"/>
      <c r="E45" s="2380"/>
      <c r="F45" s="2382"/>
      <c r="G45" s="2380"/>
      <c r="H45" s="2385"/>
      <c r="I45" s="2387"/>
      <c r="J45" s="2390"/>
      <c r="K45" s="2374"/>
      <c r="L45" s="2374"/>
      <c r="M45" s="2374"/>
      <c r="N45" s="2377"/>
      <c r="O45" s="2374"/>
      <c r="P45" s="1337"/>
      <c r="Q45" s="1216"/>
      <c r="R45" s="1216"/>
      <c r="S45" s="266"/>
      <c r="T45" s="266"/>
      <c r="U45" s="266"/>
      <c r="V45" s="266"/>
      <c r="W45" s="1217"/>
      <c r="X45" s="1178"/>
      <c r="Y45" s="1178"/>
      <c r="Z45" s="1178"/>
      <c r="AA45" s="1178"/>
      <c r="AB45" s="1178"/>
      <c r="AC45" s="1178"/>
      <c r="AD45" s="1178"/>
      <c r="AE45" s="1178"/>
      <c r="AF45" s="1178"/>
      <c r="AG45" s="1178"/>
      <c r="AH45" s="1178"/>
      <c r="AI45" s="1178"/>
      <c r="AJ45" s="1178"/>
      <c r="AK45" s="1178"/>
      <c r="AL45" s="1178"/>
      <c r="AM45" s="1178"/>
      <c r="AN45" s="1178"/>
      <c r="AO45" s="1178"/>
      <c r="AP45" s="1178"/>
      <c r="AQ45" s="1178"/>
      <c r="AR45" s="1202">
        <v>0</v>
      </c>
    </row>
    <row r="46" spans="1:44" s="2254" customFormat="1" ht="17.25" hidden="1" customHeight="1">
      <c r="A46" s="258"/>
      <c r="C46" s="146"/>
      <c r="D46" s="2372"/>
      <c r="E46" s="2380"/>
      <c r="F46" s="2382"/>
      <c r="G46" s="2380"/>
      <c r="H46" s="2385"/>
      <c r="I46" s="2387"/>
      <c r="J46" s="2390"/>
      <c r="K46" s="2374"/>
      <c r="L46" s="1216"/>
      <c r="M46" s="1216"/>
      <c r="N46" s="1216"/>
      <c r="O46" s="1216"/>
      <c r="P46" s="1216"/>
      <c r="Q46" s="1216"/>
      <c r="R46" s="1216"/>
      <c r="S46" s="266"/>
      <c r="T46" s="266"/>
      <c r="U46" s="266"/>
      <c r="V46" s="266"/>
      <c r="W46" s="1217"/>
      <c r="Y46" s="1186"/>
      <c r="Z46" s="1186"/>
      <c r="AA46" s="1186"/>
      <c r="AB46" s="1186"/>
      <c r="AC46" s="1186"/>
      <c r="AD46" s="1186"/>
      <c r="AE46" s="1186"/>
      <c r="AF46" s="1186"/>
      <c r="AG46" s="1186"/>
      <c r="AH46" s="1186"/>
      <c r="AI46" s="1186"/>
      <c r="AJ46" s="1186"/>
      <c r="AK46" s="1186"/>
      <c r="AL46" s="1186"/>
      <c r="AM46" s="1186"/>
      <c r="AN46" s="1186"/>
      <c r="AO46" s="1186"/>
      <c r="AP46" s="1186"/>
      <c r="AQ46" s="1186"/>
      <c r="AR46" s="1245">
        <v>0</v>
      </c>
    </row>
    <row r="47" spans="1:44" s="2254" customFormat="1" ht="17.25" hidden="1" customHeight="1">
      <c r="A47" s="258"/>
      <c r="C47" s="257"/>
      <c r="D47" s="2372"/>
      <c r="E47" s="2380"/>
      <c r="F47" s="2383"/>
      <c r="G47" s="2380"/>
      <c r="H47" s="1218"/>
      <c r="I47" s="1219"/>
      <c r="J47" s="1219"/>
      <c r="K47" s="1219"/>
      <c r="L47" s="1219"/>
      <c r="M47" s="1219"/>
      <c r="N47" s="1219"/>
      <c r="O47" s="1219"/>
      <c r="P47" s="1219"/>
      <c r="Q47" s="1219"/>
      <c r="R47" s="1219"/>
      <c r="S47" s="1220"/>
      <c r="T47" s="1220"/>
      <c r="U47" s="1220"/>
      <c r="V47" s="1220"/>
      <c r="W47" s="1221"/>
      <c r="X47" s="1178"/>
      <c r="Y47" s="1178"/>
      <c r="Z47" s="1178"/>
      <c r="AA47" s="1178"/>
      <c r="AB47" s="1178"/>
      <c r="AC47" s="1178"/>
      <c r="AD47" s="1178"/>
      <c r="AE47" s="1178"/>
      <c r="AF47" s="1178"/>
      <c r="AG47" s="1178"/>
      <c r="AH47" s="1178"/>
      <c r="AI47" s="1178"/>
      <c r="AJ47" s="1178"/>
      <c r="AK47" s="1178"/>
      <c r="AL47" s="1178"/>
      <c r="AM47" s="1178"/>
      <c r="AN47" s="1178"/>
      <c r="AO47" s="1178"/>
      <c r="AP47" s="1178"/>
      <c r="AQ47" s="1178"/>
      <c r="AR47" s="1202">
        <v>0</v>
      </c>
    </row>
    <row r="48" spans="1:44" s="2254" customFormat="1" ht="17.25" hidden="1" customHeight="1">
      <c r="A48" s="258"/>
      <c r="C48" s="146"/>
      <c r="D48" s="2402">
        <v>7</v>
      </c>
      <c r="E48" s="2405" t="s">
        <v>190</v>
      </c>
      <c r="F48" s="2381" t="s">
        <v>19</v>
      </c>
      <c r="G48" s="2405"/>
      <c r="H48" s="2384"/>
      <c r="I48" s="2386"/>
      <c r="J48" s="2388"/>
      <c r="K48" s="2373"/>
      <c r="L48" s="2373"/>
      <c r="M48" s="2373"/>
      <c r="N48" s="2375"/>
      <c r="O48" s="2373"/>
      <c r="P48" s="2373"/>
      <c r="Q48" s="2373"/>
      <c r="R48" s="2378"/>
      <c r="S48" s="2373"/>
      <c r="T48" s="1339"/>
      <c r="U48" s="1339"/>
      <c r="V48" s="1338"/>
      <c r="W48" s="1215"/>
      <c r="X48" s="1186"/>
      <c r="Y48" s="1186"/>
      <c r="Z48" s="1186"/>
      <c r="AA48" s="1186"/>
      <c r="AB48" s="1186"/>
      <c r="AC48" s="1186" t="s">
        <v>191</v>
      </c>
      <c r="AD48" s="1186" t="s">
        <v>192</v>
      </c>
      <c r="AE48" s="1186" t="s">
        <v>193</v>
      </c>
      <c r="AF48" s="1186" t="s">
        <v>194</v>
      </c>
      <c r="AG48" s="1186" t="s">
        <v>195</v>
      </c>
      <c r="AH48" s="1186" t="str">
        <f>IF($E$48=0,"",$E$48)</f>
        <v>Плата за услуги по поддержанию резервной тепловой мощности при отсутствии потребления тепловой энергии</v>
      </c>
      <c r="AI48" s="1186" t="str">
        <f>IF($G$48=0,"",$G$48)</f>
        <v/>
      </c>
      <c r="AJ48" s="1186" t="str">
        <f>IF($J$48=0,"",$J$48)</f>
        <v/>
      </c>
      <c r="AK48" s="1186" t="str">
        <f>IF($K$48="нет","без дифференциации",IF($N$48=0,"",$N$48))</f>
        <v/>
      </c>
      <c r="AL48" s="1186" t="str">
        <f>IF($O$48="нет","без дифференциации",IF($R$48=0,"",$R$48))</f>
        <v/>
      </c>
      <c r="AM48" s="1186" t="str">
        <f>IF($S$48="нет","без дифференциации",IF($V$48=0,"",$V$48))</f>
        <v/>
      </c>
      <c r="AN48" s="1690">
        <f>$I$48</f>
        <v>0</v>
      </c>
      <c r="AO48" s="1186" t="str">
        <f>$I$48&amp;"."&amp;$M$48</f>
        <v>.</v>
      </c>
      <c r="AP48" s="1178" t="str">
        <f>$I$48&amp;"."&amp;$M$48&amp;"."&amp;$Q$48</f>
        <v>..</v>
      </c>
      <c r="AQ48" s="1178" t="str">
        <f>$I$48&amp;"."&amp;$M$48&amp;"."&amp;$Q$48&amp;"."&amp;$U$48</f>
        <v>...</v>
      </c>
      <c r="AR48" s="1227">
        <v>0</v>
      </c>
    </row>
    <row r="49" spans="1:44" s="2254" customFormat="1" ht="17.25" hidden="1" customHeight="1">
      <c r="A49" s="258"/>
      <c r="C49" s="257"/>
      <c r="D49" s="2403"/>
      <c r="E49" s="2406"/>
      <c r="F49" s="2382"/>
      <c r="G49" s="2406"/>
      <c r="H49" s="2385"/>
      <c r="I49" s="2387"/>
      <c r="J49" s="2389"/>
      <c r="K49" s="2374"/>
      <c r="L49" s="2374"/>
      <c r="M49" s="2374"/>
      <c r="N49" s="2376"/>
      <c r="O49" s="2374"/>
      <c r="P49" s="2374"/>
      <c r="Q49" s="2374"/>
      <c r="R49" s="2377"/>
      <c r="S49" s="2374"/>
      <c r="T49" s="1216"/>
      <c r="U49" s="1216"/>
      <c r="V49" s="1216"/>
      <c r="W49" s="1217"/>
      <c r="X49" s="1178"/>
      <c r="Y49" s="1178"/>
      <c r="Z49" s="1178"/>
      <c r="AA49" s="1178"/>
      <c r="AB49" s="1178"/>
      <c r="AC49" s="1178"/>
      <c r="AD49" s="1178"/>
      <c r="AE49" s="1178"/>
      <c r="AF49" s="1178"/>
      <c r="AG49" s="1178"/>
      <c r="AH49" s="1178"/>
      <c r="AI49" s="1178"/>
      <c r="AJ49" s="1178"/>
      <c r="AK49" s="1178"/>
      <c r="AL49" s="1178"/>
      <c r="AM49" s="1178"/>
      <c r="AN49" s="1178"/>
      <c r="AO49" s="1178"/>
      <c r="AP49" s="1178"/>
      <c r="AQ49" s="1178"/>
      <c r="AR49" s="1227">
        <v>0</v>
      </c>
    </row>
    <row r="50" spans="1:44" s="2254" customFormat="1" ht="17.25" hidden="1" customHeight="1">
      <c r="A50" s="258"/>
      <c r="C50" s="257"/>
      <c r="D50" s="2403"/>
      <c r="E50" s="2406"/>
      <c r="F50" s="2382"/>
      <c r="G50" s="2406"/>
      <c r="H50" s="2385"/>
      <c r="I50" s="2387"/>
      <c r="J50" s="2390"/>
      <c r="K50" s="2374"/>
      <c r="L50" s="2374"/>
      <c r="M50" s="2374"/>
      <c r="N50" s="2377"/>
      <c r="O50" s="2374"/>
      <c r="P50" s="1337"/>
      <c r="Q50" s="1216"/>
      <c r="R50" s="1216"/>
      <c r="S50" s="266"/>
      <c r="T50" s="266"/>
      <c r="U50" s="266"/>
      <c r="V50" s="266"/>
      <c r="W50" s="1217"/>
      <c r="X50" s="1178"/>
      <c r="Y50" s="1178"/>
      <c r="Z50" s="1178"/>
      <c r="AA50" s="1178"/>
      <c r="AB50" s="1178"/>
      <c r="AC50" s="1178"/>
      <c r="AD50" s="1178"/>
      <c r="AE50" s="1178"/>
      <c r="AF50" s="1178"/>
      <c r="AG50" s="1178"/>
      <c r="AH50" s="1178"/>
      <c r="AI50" s="1178"/>
      <c r="AJ50" s="1178"/>
      <c r="AK50" s="1178"/>
      <c r="AL50" s="1178"/>
      <c r="AM50" s="1178"/>
      <c r="AN50" s="1178"/>
      <c r="AO50" s="1178"/>
      <c r="AP50" s="1178"/>
      <c r="AQ50" s="1178"/>
      <c r="AR50" s="1227">
        <v>0</v>
      </c>
    </row>
    <row r="51" spans="1:44" s="2254" customFormat="1" ht="17.25" hidden="1" customHeight="1">
      <c r="A51" s="258"/>
      <c r="C51" s="146"/>
      <c r="D51" s="2403"/>
      <c r="E51" s="2406"/>
      <c r="F51" s="2382"/>
      <c r="G51" s="2406"/>
      <c r="H51" s="2385"/>
      <c r="I51" s="2387"/>
      <c r="J51" s="2390"/>
      <c r="K51" s="2374"/>
      <c r="L51" s="1216"/>
      <c r="M51" s="1216"/>
      <c r="N51" s="1216"/>
      <c r="O51" s="1216"/>
      <c r="P51" s="1216"/>
      <c r="Q51" s="1216"/>
      <c r="R51" s="1216"/>
      <c r="S51" s="266"/>
      <c r="T51" s="266"/>
      <c r="U51" s="266"/>
      <c r="V51" s="266"/>
      <c r="W51" s="1217"/>
      <c r="Y51" s="1186"/>
      <c r="Z51" s="1186"/>
      <c r="AA51" s="1186"/>
      <c r="AB51" s="1186"/>
      <c r="AC51" s="1186"/>
      <c r="AD51" s="1186"/>
      <c r="AE51" s="1186"/>
      <c r="AF51" s="1186"/>
      <c r="AG51" s="1186"/>
      <c r="AH51" s="1186"/>
      <c r="AI51" s="1186"/>
      <c r="AJ51" s="1186"/>
      <c r="AK51" s="1186"/>
      <c r="AL51" s="1186"/>
      <c r="AM51" s="1186"/>
      <c r="AN51" s="1186"/>
      <c r="AO51" s="1186"/>
      <c r="AP51" s="1186"/>
      <c r="AQ51" s="1186"/>
      <c r="AR51" s="1245">
        <v>0</v>
      </c>
    </row>
    <row r="52" spans="1:44" s="2254" customFormat="1" ht="17.25" hidden="1" customHeight="1">
      <c r="A52" s="258"/>
      <c r="C52" s="257"/>
      <c r="D52" s="2404"/>
      <c r="E52" s="2407"/>
      <c r="F52" s="2383"/>
      <c r="G52" s="2407"/>
      <c r="H52" s="1218"/>
      <c r="I52" s="1219"/>
      <c r="J52" s="1219"/>
      <c r="K52" s="1219"/>
      <c r="L52" s="1219"/>
      <c r="M52" s="1219"/>
      <c r="N52" s="1219"/>
      <c r="O52" s="1219"/>
      <c r="P52" s="1219"/>
      <c r="Q52" s="1219"/>
      <c r="R52" s="1219"/>
      <c r="S52" s="1220"/>
      <c r="T52" s="1220"/>
      <c r="U52" s="1220"/>
      <c r="V52" s="1220"/>
      <c r="W52" s="1221"/>
      <c r="X52" s="1178"/>
      <c r="Y52" s="1178"/>
      <c r="Z52" s="1178"/>
      <c r="AA52" s="1178"/>
      <c r="AB52" s="1178"/>
      <c r="AC52" s="1178"/>
      <c r="AD52" s="1178"/>
      <c r="AE52" s="1178"/>
      <c r="AF52" s="1178"/>
      <c r="AG52" s="1178"/>
      <c r="AH52" s="1178"/>
      <c r="AI52" s="1178"/>
      <c r="AJ52" s="1178"/>
      <c r="AK52" s="1178"/>
      <c r="AL52" s="1178"/>
      <c r="AM52" s="1178"/>
      <c r="AN52" s="1178"/>
      <c r="AO52" s="1178"/>
      <c r="AP52" s="1178"/>
      <c r="AQ52" s="1178"/>
      <c r="AR52" s="1227">
        <v>0</v>
      </c>
    </row>
    <row r="53" spans="1:44" s="2254" customFormat="1" ht="17.25" hidden="1" customHeight="1">
      <c r="A53" s="258"/>
      <c r="C53" s="146"/>
      <c r="D53" s="2371">
        <v>8</v>
      </c>
      <c r="E53" s="2379" t="s">
        <v>196</v>
      </c>
      <c r="F53" s="2381" t="s">
        <v>19</v>
      </c>
      <c r="G53" s="2379"/>
      <c r="H53" s="2384"/>
      <c r="I53" s="2386"/>
      <c r="J53" s="2388"/>
      <c r="K53" s="2373"/>
      <c r="L53" s="2373"/>
      <c r="M53" s="2373"/>
      <c r="N53" s="2375"/>
      <c r="O53" s="2373"/>
      <c r="P53" s="2373"/>
      <c r="Q53" s="2373"/>
      <c r="R53" s="2378"/>
      <c r="S53" s="2373"/>
      <c r="T53" s="1389"/>
      <c r="U53" s="1389"/>
      <c r="V53" s="1391"/>
      <c r="W53" s="1215"/>
      <c r="X53" s="1186"/>
      <c r="Y53" s="1186"/>
      <c r="Z53" s="1186"/>
      <c r="AA53" s="1186"/>
      <c r="AB53" s="1186"/>
      <c r="AC53" s="1186" t="s">
        <v>197</v>
      </c>
      <c r="AD53" s="1186" t="s">
        <v>198</v>
      </c>
      <c r="AE53" s="1186" t="s">
        <v>199</v>
      </c>
      <c r="AF53" s="1186" t="s">
        <v>200</v>
      </c>
      <c r="AG53" s="1186" t="s">
        <v>201</v>
      </c>
      <c r="AH53" s="1186" t="str">
        <f>IF($E$53=0,"",$E$53)</f>
        <v>Плата за подключение (технологическое присоединение) к системе теплоснабжения</v>
      </c>
      <c r="AI53" s="1186" t="str">
        <f>IF($G$53=0,"",$G$53)</f>
        <v/>
      </c>
      <c r="AJ53" s="1186" t="str">
        <f>IF($J$53=0,"",$J$53)</f>
        <v/>
      </c>
      <c r="AK53" s="1186" t="str">
        <f>IF($K$53="нет","без дифференциации",IF($N$53=0,"",$N$53))</f>
        <v/>
      </c>
      <c r="AL53" s="1186" t="str">
        <f>IF($O$53="нет","без дифференциации",IF($R$53=0,"",$R$53))</f>
        <v/>
      </c>
      <c r="AM53" s="1186" t="str">
        <f>IF($S$53="нет","без дифференциации",IF($V$53=0,"",$V$53))</f>
        <v/>
      </c>
      <c r="AN53" s="1690">
        <f>$I$53</f>
        <v>0</v>
      </c>
      <c r="AO53" s="1186" t="str">
        <f>$I$53&amp;"."&amp;$M$53</f>
        <v>.</v>
      </c>
      <c r="AP53" s="1178" t="str">
        <f>$I$53&amp;"."&amp;$M$53&amp;"."&amp;$Q$53</f>
        <v>..</v>
      </c>
      <c r="AQ53" s="1178" t="str">
        <f>$I$53&amp;"."&amp;$M$53&amp;"."&amp;$Q$53&amp;"."&amp;$U$53</f>
        <v>...</v>
      </c>
      <c r="AR53" s="1227">
        <v>0</v>
      </c>
    </row>
    <row r="54" spans="1:44" s="2254" customFormat="1" ht="17.25" hidden="1" customHeight="1">
      <c r="A54" s="258"/>
      <c r="C54" s="257"/>
      <c r="D54" s="2371"/>
      <c r="E54" s="2379"/>
      <c r="F54" s="2382"/>
      <c r="G54" s="2379"/>
      <c r="H54" s="2385"/>
      <c r="I54" s="2387"/>
      <c r="J54" s="2389"/>
      <c r="K54" s="2374"/>
      <c r="L54" s="2374"/>
      <c r="M54" s="2374"/>
      <c r="N54" s="2376"/>
      <c r="O54" s="2374"/>
      <c r="P54" s="2374"/>
      <c r="Q54" s="2374"/>
      <c r="R54" s="2377"/>
      <c r="S54" s="2374"/>
      <c r="T54" s="1216"/>
      <c r="U54" s="1216"/>
      <c r="V54" s="1216"/>
      <c r="W54" s="1217"/>
      <c r="X54" s="1178"/>
      <c r="Y54" s="1178"/>
      <c r="Z54" s="1178"/>
      <c r="AA54" s="1178"/>
      <c r="AB54" s="1178"/>
      <c r="AC54" s="1178"/>
      <c r="AD54" s="1178"/>
      <c r="AE54" s="1178"/>
      <c r="AF54" s="1178"/>
      <c r="AG54" s="1178"/>
      <c r="AH54" s="1178"/>
      <c r="AI54" s="1178"/>
      <c r="AJ54" s="1178"/>
      <c r="AK54" s="1178"/>
      <c r="AL54" s="1178"/>
      <c r="AM54" s="1178"/>
      <c r="AN54" s="1178"/>
      <c r="AO54" s="1178"/>
      <c r="AP54" s="1178"/>
      <c r="AQ54" s="1178"/>
      <c r="AR54" s="1227">
        <v>0</v>
      </c>
    </row>
    <row r="55" spans="1:44" s="2254" customFormat="1" ht="17.25" hidden="1" customHeight="1">
      <c r="A55" s="258"/>
      <c r="C55" s="257"/>
      <c r="D55" s="2372"/>
      <c r="E55" s="2380"/>
      <c r="F55" s="2382"/>
      <c r="G55" s="2380"/>
      <c r="H55" s="2385"/>
      <c r="I55" s="2387"/>
      <c r="J55" s="2390"/>
      <c r="K55" s="2374"/>
      <c r="L55" s="2374"/>
      <c r="M55" s="2374"/>
      <c r="N55" s="2377"/>
      <c r="O55" s="2374"/>
      <c r="P55" s="1390"/>
      <c r="Q55" s="1216"/>
      <c r="R55" s="1216"/>
      <c r="S55" s="266"/>
      <c r="T55" s="266"/>
      <c r="U55" s="266"/>
      <c r="V55" s="266"/>
      <c r="W55" s="1217"/>
      <c r="X55" s="1178"/>
      <c r="Y55" s="1178"/>
      <c r="Z55" s="1178"/>
      <c r="AA55" s="1178"/>
      <c r="AB55" s="1178"/>
      <c r="AC55" s="1178"/>
      <c r="AD55" s="1178"/>
      <c r="AE55" s="1178"/>
      <c r="AF55" s="1178"/>
      <c r="AG55" s="1178"/>
      <c r="AH55" s="1178"/>
      <c r="AI55" s="1178"/>
      <c r="AJ55" s="1178"/>
      <c r="AK55" s="1178"/>
      <c r="AL55" s="1178"/>
      <c r="AM55" s="1178"/>
      <c r="AN55" s="1178"/>
      <c r="AO55" s="1178"/>
      <c r="AP55" s="1178"/>
      <c r="AQ55" s="1178"/>
      <c r="AR55" s="1227">
        <v>0</v>
      </c>
    </row>
    <row r="56" spans="1:44" s="2254" customFormat="1" ht="17.25" hidden="1" customHeight="1">
      <c r="A56" s="258"/>
      <c r="C56" s="146"/>
      <c r="D56" s="2372"/>
      <c r="E56" s="2380"/>
      <c r="F56" s="2382"/>
      <c r="G56" s="2380"/>
      <c r="H56" s="2385"/>
      <c r="I56" s="2387"/>
      <c r="J56" s="2390"/>
      <c r="K56" s="2374"/>
      <c r="L56" s="1216"/>
      <c r="M56" s="1216"/>
      <c r="N56" s="1216"/>
      <c r="O56" s="1216"/>
      <c r="P56" s="1216"/>
      <c r="Q56" s="1216"/>
      <c r="R56" s="1216"/>
      <c r="S56" s="266"/>
      <c r="T56" s="266"/>
      <c r="U56" s="266"/>
      <c r="V56" s="266"/>
      <c r="W56" s="1217"/>
      <c r="Y56" s="1186"/>
      <c r="Z56" s="1186"/>
      <c r="AA56" s="1186"/>
      <c r="AB56" s="1186"/>
      <c r="AC56" s="1186"/>
      <c r="AD56" s="1186"/>
      <c r="AE56" s="1186"/>
      <c r="AF56" s="1186"/>
      <c r="AG56" s="1186"/>
      <c r="AH56" s="1186"/>
      <c r="AI56" s="1186"/>
      <c r="AJ56" s="1186"/>
      <c r="AK56" s="1186"/>
      <c r="AL56" s="1186"/>
      <c r="AM56" s="1186"/>
      <c r="AN56" s="1186"/>
      <c r="AO56" s="1186"/>
      <c r="AP56" s="1186"/>
      <c r="AQ56" s="1186"/>
      <c r="AR56" s="1245">
        <v>0</v>
      </c>
    </row>
    <row r="57" spans="1:44" s="2254" customFormat="1" ht="17.25" hidden="1" customHeight="1">
      <c r="A57" s="258"/>
      <c r="C57" s="257"/>
      <c r="D57" s="2372"/>
      <c r="E57" s="2380"/>
      <c r="F57" s="2383"/>
      <c r="G57" s="2380"/>
      <c r="H57" s="1218"/>
      <c r="I57" s="1219"/>
      <c r="J57" s="1219"/>
      <c r="K57" s="1219"/>
      <c r="L57" s="1219"/>
      <c r="M57" s="1219"/>
      <c r="N57" s="1219"/>
      <c r="O57" s="1219"/>
      <c r="P57" s="1219"/>
      <c r="Q57" s="1219"/>
      <c r="R57" s="1219"/>
      <c r="S57" s="1220"/>
      <c r="T57" s="1220"/>
      <c r="U57" s="1220"/>
      <c r="V57" s="1220"/>
      <c r="W57" s="1221"/>
      <c r="X57" s="1178"/>
      <c r="Y57" s="1178"/>
      <c r="Z57" s="1178"/>
      <c r="AA57" s="1178"/>
      <c r="AB57" s="1178"/>
      <c r="AC57" s="1178"/>
      <c r="AD57" s="1178"/>
      <c r="AE57" s="1178"/>
      <c r="AF57" s="1178"/>
      <c r="AG57" s="1178"/>
      <c r="AH57" s="1178"/>
      <c r="AI57" s="1178"/>
      <c r="AJ57" s="1178"/>
      <c r="AK57" s="1178"/>
      <c r="AL57" s="1178"/>
      <c r="AM57" s="1178"/>
      <c r="AN57" s="1178"/>
      <c r="AO57" s="1178"/>
      <c r="AP57" s="1178"/>
      <c r="AQ57" s="1178"/>
      <c r="AR57" s="1227">
        <v>0</v>
      </c>
    </row>
    <row r="58" spans="1:44" s="2254" customFormat="1" ht="17.25" hidden="1" customHeight="1">
      <c r="A58" s="258"/>
      <c r="C58" s="146"/>
      <c r="D58" s="2371">
        <v>9</v>
      </c>
      <c r="E58" s="2379" t="s">
        <v>202</v>
      </c>
      <c r="F58" s="2381" t="s">
        <v>19</v>
      </c>
      <c r="G58" s="2379"/>
      <c r="H58" s="2384"/>
      <c r="I58" s="2386"/>
      <c r="J58" s="2388"/>
      <c r="K58" s="2373"/>
      <c r="L58" s="2373"/>
      <c r="M58" s="2373"/>
      <c r="N58" s="2375"/>
      <c r="O58" s="2373"/>
      <c r="P58" s="2373"/>
      <c r="Q58" s="2373"/>
      <c r="R58" s="2378"/>
      <c r="S58" s="2373"/>
      <c r="T58" s="1844"/>
      <c r="U58" s="1844"/>
      <c r="V58" s="1846"/>
      <c r="W58" s="1215"/>
      <c r="X58" s="1186"/>
      <c r="Y58" s="1186"/>
      <c r="Z58" s="1186"/>
      <c r="AA58" s="1186"/>
      <c r="AB58" s="1186"/>
      <c r="AC58" s="1186" t="s">
        <v>203</v>
      </c>
      <c r="AD58" s="1186" t="s">
        <v>204</v>
      </c>
      <c r="AE58" s="1186" t="s">
        <v>205</v>
      </c>
      <c r="AF58" s="1186" t="s">
        <v>206</v>
      </c>
      <c r="AG58" s="1186" t="s">
        <v>207</v>
      </c>
      <c r="AH58" s="1186" t="str">
        <f>IF($E$58=0,"",$E$58)</f>
        <v>Плата за подключение (технологическое присоединение) к системе теплоснабжения (индивидуальная)</v>
      </c>
      <c r="AI58" s="1186" t="str">
        <f>IF($G$58=0,"",$G$58)</f>
        <v/>
      </c>
      <c r="AJ58" s="1186" t="str">
        <f>IF($J$58=0,"",$J$58)</f>
        <v/>
      </c>
      <c r="AK58" s="1186" t="str">
        <f>IF($K$58="нет","без дифференциации",IF($N$58=0,"",$N$58))</f>
        <v/>
      </c>
      <c r="AL58" s="1186" t="str">
        <f>IF($O$58="нет","без дифференциации",IF($R$58=0,"",$R$58))</f>
        <v/>
      </c>
      <c r="AM58" s="1186" t="str">
        <f>IF($S$58="нет","без дифференциации",IF($V$58=0,"",$V$58))</f>
        <v/>
      </c>
      <c r="AN58" s="1690">
        <f>$I$58</f>
        <v>0</v>
      </c>
      <c r="AO58" s="1186" t="str">
        <f>$I$58&amp;"."&amp;$M$58</f>
        <v>.</v>
      </c>
      <c r="AP58" s="1185" t="str">
        <f>$I$58&amp;"."&amp;$M$58&amp;"."&amp;$Q$58</f>
        <v>..</v>
      </c>
      <c r="AQ58" s="1185" t="str">
        <f>$I$58&amp;"."&amp;$M$58&amp;"."&amp;$Q$58&amp;"."&amp;$U$58</f>
        <v>...</v>
      </c>
      <c r="AR58" s="1386">
        <v>0</v>
      </c>
    </row>
    <row r="59" spans="1:44" s="2254" customFormat="1" ht="17.25" hidden="1" customHeight="1">
      <c r="A59" s="258"/>
      <c r="C59" s="257"/>
      <c r="D59" s="2371"/>
      <c r="E59" s="2379"/>
      <c r="F59" s="2382"/>
      <c r="G59" s="2379"/>
      <c r="H59" s="2385"/>
      <c r="I59" s="2387"/>
      <c r="J59" s="2389"/>
      <c r="K59" s="2374"/>
      <c r="L59" s="2374"/>
      <c r="M59" s="2374"/>
      <c r="N59" s="2376"/>
      <c r="O59" s="2374"/>
      <c r="P59" s="2374"/>
      <c r="Q59" s="2374"/>
      <c r="R59" s="2377"/>
      <c r="S59" s="2374"/>
      <c r="T59" s="1847"/>
      <c r="U59" s="1847"/>
      <c r="V59" s="1847"/>
      <c r="W59" s="1848"/>
      <c r="X59" s="1185"/>
      <c r="Y59" s="1185"/>
      <c r="Z59" s="1185"/>
      <c r="AA59" s="1185"/>
      <c r="AB59" s="1185"/>
      <c r="AC59" s="1185"/>
      <c r="AD59" s="1185"/>
      <c r="AE59" s="1185"/>
      <c r="AF59" s="1185"/>
      <c r="AG59" s="1185"/>
      <c r="AH59" s="1185"/>
      <c r="AI59" s="1185"/>
      <c r="AJ59" s="1185"/>
      <c r="AK59" s="1185"/>
      <c r="AL59" s="1185"/>
      <c r="AM59" s="1185"/>
      <c r="AN59" s="1185"/>
      <c r="AO59" s="1185"/>
      <c r="AP59" s="1185"/>
      <c r="AQ59" s="1185"/>
      <c r="AR59" s="1386">
        <v>0</v>
      </c>
    </row>
    <row r="60" spans="1:44" s="2254" customFormat="1" ht="17.25" hidden="1" customHeight="1">
      <c r="A60" s="258"/>
      <c r="C60" s="257"/>
      <c r="D60" s="2372"/>
      <c r="E60" s="2380"/>
      <c r="F60" s="2382"/>
      <c r="G60" s="2380"/>
      <c r="H60" s="2385"/>
      <c r="I60" s="2387"/>
      <c r="J60" s="2390"/>
      <c r="K60" s="2374"/>
      <c r="L60" s="2374"/>
      <c r="M60" s="2374"/>
      <c r="N60" s="2377"/>
      <c r="O60" s="2374"/>
      <c r="P60" s="1845"/>
      <c r="Q60" s="1847"/>
      <c r="R60" s="1847"/>
      <c r="S60" s="266"/>
      <c r="T60" s="266"/>
      <c r="U60" s="266"/>
      <c r="V60" s="266"/>
      <c r="W60" s="1848"/>
      <c r="X60" s="1185"/>
      <c r="Y60" s="1185"/>
      <c r="Z60" s="1185"/>
      <c r="AA60" s="1185"/>
      <c r="AB60" s="1185"/>
      <c r="AC60" s="1185"/>
      <c r="AD60" s="1185"/>
      <c r="AE60" s="1185"/>
      <c r="AF60" s="1185"/>
      <c r="AG60" s="1185"/>
      <c r="AH60" s="1185"/>
      <c r="AI60" s="1185"/>
      <c r="AJ60" s="1185"/>
      <c r="AK60" s="1185"/>
      <c r="AL60" s="1185"/>
      <c r="AM60" s="1185"/>
      <c r="AN60" s="1185"/>
      <c r="AO60" s="1185"/>
      <c r="AP60" s="1185"/>
      <c r="AQ60" s="1185"/>
      <c r="AR60" s="1386">
        <v>0</v>
      </c>
    </row>
    <row r="61" spans="1:44" s="2254" customFormat="1" ht="17.25" hidden="1" customHeight="1">
      <c r="A61" s="258"/>
      <c r="C61" s="146"/>
      <c r="D61" s="2372"/>
      <c r="E61" s="2380"/>
      <c r="F61" s="2382"/>
      <c r="G61" s="2380"/>
      <c r="H61" s="2385"/>
      <c r="I61" s="2387"/>
      <c r="J61" s="2390"/>
      <c r="K61" s="2374"/>
      <c r="L61" s="1847"/>
      <c r="M61" s="1847"/>
      <c r="N61" s="1847"/>
      <c r="O61" s="1847"/>
      <c r="P61" s="1847"/>
      <c r="Q61" s="1847"/>
      <c r="R61" s="1847"/>
      <c r="S61" s="266"/>
      <c r="T61" s="266"/>
      <c r="U61" s="266"/>
      <c r="V61" s="266"/>
      <c r="W61" s="1848"/>
      <c r="Y61" s="1186"/>
      <c r="Z61" s="1186"/>
      <c r="AA61" s="1186"/>
      <c r="AB61" s="1186"/>
      <c r="AC61" s="1186"/>
      <c r="AD61" s="1186"/>
      <c r="AE61" s="1186"/>
      <c r="AF61" s="1186"/>
      <c r="AG61" s="1186"/>
      <c r="AH61" s="1186"/>
      <c r="AI61" s="1186"/>
      <c r="AJ61" s="1186"/>
      <c r="AK61" s="1186"/>
      <c r="AL61" s="1186"/>
      <c r="AM61" s="1186"/>
      <c r="AN61" s="1186"/>
      <c r="AO61" s="1186"/>
      <c r="AP61" s="1186"/>
      <c r="AQ61" s="1186"/>
      <c r="AR61" s="1386">
        <v>0</v>
      </c>
    </row>
    <row r="62" spans="1:44" s="2254" customFormat="1" ht="17.25" hidden="1" customHeight="1">
      <c r="A62" s="258"/>
      <c r="C62" s="257"/>
      <c r="D62" s="2372"/>
      <c r="E62" s="2380"/>
      <c r="F62" s="2383"/>
      <c r="G62" s="2380"/>
      <c r="H62" s="1218"/>
      <c r="I62" s="1849"/>
      <c r="J62" s="1849"/>
      <c r="K62" s="1849"/>
      <c r="L62" s="1849"/>
      <c r="M62" s="1849"/>
      <c r="N62" s="1849"/>
      <c r="O62" s="1849"/>
      <c r="P62" s="1849"/>
      <c r="Q62" s="1849"/>
      <c r="R62" s="1849"/>
      <c r="S62" s="1220"/>
      <c r="T62" s="1220"/>
      <c r="U62" s="1220"/>
      <c r="V62" s="1220"/>
      <c r="W62" s="1850"/>
      <c r="X62" s="1185"/>
      <c r="Y62" s="1185"/>
      <c r="Z62" s="1185"/>
      <c r="AA62" s="1185"/>
      <c r="AB62" s="1185"/>
      <c r="AC62" s="1185"/>
      <c r="AD62" s="1185"/>
      <c r="AE62" s="1185"/>
      <c r="AF62" s="1185"/>
      <c r="AG62" s="1185"/>
      <c r="AH62" s="1185"/>
      <c r="AI62" s="1185"/>
      <c r="AJ62" s="1185"/>
      <c r="AK62" s="1185"/>
      <c r="AL62" s="1185"/>
      <c r="AM62" s="1185"/>
      <c r="AN62" s="1185"/>
      <c r="AO62" s="1185"/>
      <c r="AP62" s="1185"/>
      <c r="AQ62" s="1185"/>
      <c r="AR62" s="1386">
        <v>0</v>
      </c>
    </row>
    <row r="63" spans="1:44" s="2254" customFormat="1" ht="17.25" hidden="1" customHeight="1">
      <c r="A63" s="258"/>
      <c r="C63" s="146"/>
      <c r="D63" s="2371">
        <v>10</v>
      </c>
      <c r="E63" s="2379" t="s">
        <v>208</v>
      </c>
      <c r="F63" s="2381" t="s">
        <v>19</v>
      </c>
      <c r="G63" s="2379"/>
      <c r="H63" s="2384"/>
      <c r="I63" s="2386"/>
      <c r="J63" s="2388"/>
      <c r="K63" s="2373"/>
      <c r="L63" s="2373"/>
      <c r="M63" s="2373"/>
      <c r="N63" s="2375"/>
      <c r="O63" s="2373"/>
      <c r="P63" s="2373"/>
      <c r="Q63" s="2373"/>
      <c r="R63" s="2378"/>
      <c r="S63" s="2373"/>
      <c r="T63" s="1844"/>
      <c r="U63" s="1844"/>
      <c r="V63" s="1846"/>
      <c r="W63" s="1215"/>
      <c r="X63" s="1186"/>
      <c r="Y63" s="1186"/>
      <c r="Z63" s="1186"/>
      <c r="AA63" s="1186"/>
      <c r="AB63" s="1186"/>
      <c r="AC63" s="1186" t="s">
        <v>209</v>
      </c>
      <c r="AD63" s="1186" t="s">
        <v>210</v>
      </c>
      <c r="AE63" s="1186" t="s">
        <v>211</v>
      </c>
      <c r="AF63" s="1186" t="s">
        <v>212</v>
      </c>
      <c r="AG63" s="1186" t="s">
        <v>213</v>
      </c>
      <c r="AH63" s="1186" t="str">
        <f>IF($E$63=0,"",$E$63)</f>
        <v>Предельный уровень цены на тепловую энергию (мощность), поставляемую теплоснабжающими организациями потребителям</v>
      </c>
      <c r="AI63" s="1186" t="str">
        <f>IF($G$63=0,"",$G$63)</f>
        <v/>
      </c>
      <c r="AJ63" s="1186" t="str">
        <f>IF($J$63=0,"",$J$63)</f>
        <v/>
      </c>
      <c r="AK63" s="1186" t="str">
        <f>IF($K$63="нет","без дифференциации",IF($N$63=0,"",$N$63))</f>
        <v/>
      </c>
      <c r="AL63" s="1186" t="str">
        <f>IF($O$63="нет","без дифференциации",IF($R$63=0,"",$R$63))</f>
        <v/>
      </c>
      <c r="AM63" s="1186" t="str">
        <f>IF($S$63="нет","без дифференциации",IF($V$63=0,"",$V$63))</f>
        <v/>
      </c>
      <c r="AN63" s="1690">
        <f>$I$63</f>
        <v>0</v>
      </c>
      <c r="AO63" s="1186" t="str">
        <f>$I$63&amp;"."&amp;$M$63</f>
        <v>.</v>
      </c>
      <c r="AP63" s="1185" t="str">
        <f>$I$63&amp;"."&amp;$M$63&amp;"."&amp;$Q$63</f>
        <v>..</v>
      </c>
      <c r="AQ63" s="1185" t="str">
        <f>$I$63&amp;"."&amp;$M$63&amp;"."&amp;$Q$63&amp;"."&amp;$U$63</f>
        <v>...</v>
      </c>
      <c r="AR63" s="1386">
        <v>0</v>
      </c>
    </row>
    <row r="64" spans="1:44" s="2254" customFormat="1" ht="17.25" hidden="1" customHeight="1">
      <c r="A64" s="258"/>
      <c r="C64" s="257"/>
      <c r="D64" s="2371"/>
      <c r="E64" s="2379"/>
      <c r="F64" s="2382"/>
      <c r="G64" s="2379"/>
      <c r="H64" s="2385"/>
      <c r="I64" s="2387"/>
      <c r="J64" s="2389"/>
      <c r="K64" s="2374"/>
      <c r="L64" s="2374"/>
      <c r="M64" s="2374"/>
      <c r="N64" s="2376"/>
      <c r="O64" s="2374"/>
      <c r="P64" s="2374"/>
      <c r="Q64" s="2374"/>
      <c r="R64" s="2377"/>
      <c r="S64" s="2374"/>
      <c r="T64" s="1847"/>
      <c r="U64" s="1847"/>
      <c r="V64" s="1847"/>
      <c r="W64" s="1848"/>
      <c r="X64" s="1185"/>
      <c r="Y64" s="1185"/>
      <c r="Z64" s="1185"/>
      <c r="AA64" s="1185"/>
      <c r="AB64" s="1185"/>
      <c r="AC64" s="1185"/>
      <c r="AD64" s="1185"/>
      <c r="AE64" s="1185"/>
      <c r="AF64" s="1185"/>
      <c r="AG64" s="1185"/>
      <c r="AH64" s="1185"/>
      <c r="AI64" s="1185"/>
      <c r="AJ64" s="1185"/>
      <c r="AK64" s="1185"/>
      <c r="AL64" s="1185"/>
      <c r="AM64" s="1185"/>
      <c r="AN64" s="1185"/>
      <c r="AO64" s="1185"/>
      <c r="AP64" s="1185"/>
      <c r="AQ64" s="1185"/>
      <c r="AR64" s="1386">
        <v>0</v>
      </c>
    </row>
    <row r="65" spans="1:44" s="2254" customFormat="1" ht="17.25" hidden="1" customHeight="1">
      <c r="A65" s="258"/>
      <c r="C65" s="257"/>
      <c r="D65" s="2372"/>
      <c r="E65" s="2380"/>
      <c r="F65" s="2382"/>
      <c r="G65" s="2380"/>
      <c r="H65" s="2385"/>
      <c r="I65" s="2387"/>
      <c r="J65" s="2390"/>
      <c r="K65" s="2374"/>
      <c r="L65" s="2374"/>
      <c r="M65" s="2374"/>
      <c r="N65" s="2377"/>
      <c r="O65" s="2374"/>
      <c r="P65" s="1845"/>
      <c r="Q65" s="1847"/>
      <c r="R65" s="1847"/>
      <c r="S65" s="266"/>
      <c r="T65" s="266"/>
      <c r="U65" s="266"/>
      <c r="V65" s="266"/>
      <c r="W65" s="1848"/>
      <c r="X65" s="1185"/>
      <c r="Y65" s="1185"/>
      <c r="Z65" s="1185"/>
      <c r="AA65" s="1185"/>
      <c r="AB65" s="1185"/>
      <c r="AC65" s="1185"/>
      <c r="AD65" s="1185"/>
      <c r="AE65" s="1185"/>
      <c r="AF65" s="1185"/>
      <c r="AG65" s="1185"/>
      <c r="AH65" s="1185"/>
      <c r="AI65" s="1185"/>
      <c r="AJ65" s="1185"/>
      <c r="AK65" s="1185"/>
      <c r="AL65" s="1185"/>
      <c r="AM65" s="1185"/>
      <c r="AN65" s="1185"/>
      <c r="AO65" s="1185"/>
      <c r="AP65" s="1185"/>
      <c r="AQ65" s="1185"/>
      <c r="AR65" s="1386">
        <v>0</v>
      </c>
    </row>
    <row r="66" spans="1:44" s="2254" customFormat="1" ht="17.25" hidden="1" customHeight="1">
      <c r="A66" s="258"/>
      <c r="C66" s="146"/>
      <c r="D66" s="2372"/>
      <c r="E66" s="2380"/>
      <c r="F66" s="2382"/>
      <c r="G66" s="2380"/>
      <c r="H66" s="2385"/>
      <c r="I66" s="2387"/>
      <c r="J66" s="2390"/>
      <c r="K66" s="2374"/>
      <c r="L66" s="1847"/>
      <c r="M66" s="1847"/>
      <c r="N66" s="1847"/>
      <c r="O66" s="1847"/>
      <c r="P66" s="1847"/>
      <c r="Q66" s="1847"/>
      <c r="R66" s="1847"/>
      <c r="S66" s="266"/>
      <c r="T66" s="266"/>
      <c r="U66" s="266"/>
      <c r="V66" s="266"/>
      <c r="W66" s="1848"/>
      <c r="Y66" s="1186"/>
      <c r="Z66" s="1186"/>
      <c r="AA66" s="1186"/>
      <c r="AB66" s="1186"/>
      <c r="AC66" s="1186"/>
      <c r="AD66" s="1186"/>
      <c r="AE66" s="1186"/>
      <c r="AF66" s="1186"/>
      <c r="AG66" s="1186"/>
      <c r="AH66" s="1186"/>
      <c r="AI66" s="1186"/>
      <c r="AJ66" s="1186"/>
      <c r="AK66" s="1186"/>
      <c r="AL66" s="1186"/>
      <c r="AM66" s="1186"/>
      <c r="AN66" s="1186"/>
      <c r="AO66" s="1186"/>
      <c r="AP66" s="1186"/>
      <c r="AQ66" s="1186"/>
      <c r="AR66" s="1386">
        <v>0</v>
      </c>
    </row>
    <row r="67" spans="1:44" s="2254" customFormat="1" ht="17.25" hidden="1" customHeight="1">
      <c r="A67" s="258"/>
      <c r="C67" s="257"/>
      <c r="D67" s="2372"/>
      <c r="E67" s="2380"/>
      <c r="F67" s="2383"/>
      <c r="G67" s="2380"/>
      <c r="H67" s="1218"/>
      <c r="I67" s="1849"/>
      <c r="J67" s="1849"/>
      <c r="K67" s="1849"/>
      <c r="L67" s="1849"/>
      <c r="M67" s="1849"/>
      <c r="N67" s="1849"/>
      <c r="O67" s="1849"/>
      <c r="P67" s="1849"/>
      <c r="Q67" s="1849"/>
      <c r="R67" s="1849"/>
      <c r="S67" s="1220"/>
      <c r="T67" s="1220"/>
      <c r="U67" s="1220"/>
      <c r="V67" s="1220"/>
      <c r="W67" s="1850"/>
      <c r="X67" s="1185"/>
      <c r="Y67" s="1185"/>
      <c r="Z67" s="1185"/>
      <c r="AA67" s="1185"/>
      <c r="AB67" s="1185"/>
      <c r="AC67" s="1185"/>
      <c r="AD67" s="1185"/>
      <c r="AE67" s="1185"/>
      <c r="AF67" s="1185"/>
      <c r="AG67" s="1185"/>
      <c r="AH67" s="1185"/>
      <c r="AI67" s="1185"/>
      <c r="AJ67" s="1185"/>
      <c r="AK67" s="1185"/>
      <c r="AL67" s="1185"/>
      <c r="AM67" s="1185"/>
      <c r="AN67" s="1185"/>
      <c r="AO67" s="1185"/>
      <c r="AP67" s="1185"/>
      <c r="AQ67" s="1185"/>
      <c r="AR67" s="1386">
        <v>0</v>
      </c>
    </row>
    <row r="68" spans="1:44" ht="11.25" hidden="1" customHeight="1">
      <c r="AR68" s="44">
        <v>0</v>
      </c>
    </row>
    <row r="69" spans="1:44" ht="11.25" hidden="1" customHeight="1">
      <c r="E69" s="2410" t="s">
        <v>214</v>
      </c>
      <c r="F69" s="2410"/>
      <c r="G69" s="2410"/>
      <c r="H69" s="2410"/>
      <c r="I69" s="2410"/>
      <c r="J69" s="2410"/>
      <c r="K69" s="2410"/>
      <c r="L69" s="2410"/>
      <c r="M69" s="2410"/>
      <c r="N69" s="2410"/>
      <c r="O69" s="2410"/>
      <c r="P69" s="2410"/>
      <c r="Q69" s="2410"/>
      <c r="R69" s="2410"/>
      <c r="S69" s="2410"/>
      <c r="T69" s="2410"/>
      <c r="U69" s="2410"/>
      <c r="V69" s="2410"/>
      <c r="W69" s="2410"/>
      <c r="AR69" s="44">
        <v>0</v>
      </c>
    </row>
    <row r="70" spans="1:44" ht="36.75" hidden="1" customHeight="1">
      <c r="E70" s="2408" t="s">
        <v>215</v>
      </c>
      <c r="F70" s="2408"/>
      <c r="G70" s="2409"/>
      <c r="H70" s="2409"/>
      <c r="I70" s="2409"/>
      <c r="J70" s="2409"/>
      <c r="K70" s="2409"/>
      <c r="L70" s="2409"/>
      <c r="M70" s="2409"/>
      <c r="N70" s="2409"/>
      <c r="O70" s="2409"/>
      <c r="P70" s="2409"/>
      <c r="Q70" s="2409"/>
      <c r="R70" s="2409"/>
      <c r="S70" s="2409"/>
      <c r="T70" s="2409"/>
      <c r="U70" s="2409"/>
      <c r="V70" s="2409"/>
      <c r="W70" s="2409"/>
      <c r="AR70" s="44">
        <v>0</v>
      </c>
    </row>
    <row r="71" spans="1:44" ht="28.5" hidden="1" customHeight="1">
      <c r="E71" s="2408" t="s">
        <v>216</v>
      </c>
      <c r="F71" s="2408"/>
      <c r="G71" s="2409"/>
      <c r="H71" s="2409"/>
      <c r="I71" s="2409"/>
      <c r="J71" s="2409"/>
      <c r="K71" s="2409"/>
      <c r="L71" s="2409"/>
      <c r="M71" s="2409"/>
      <c r="N71" s="2409"/>
      <c r="O71" s="2409"/>
      <c r="P71" s="2409"/>
      <c r="Q71" s="2409"/>
      <c r="R71" s="2409"/>
      <c r="S71" s="2409"/>
      <c r="T71" s="2409"/>
      <c r="U71" s="2409"/>
      <c r="V71" s="2409"/>
      <c r="W71" s="2409"/>
      <c r="AR71" s="44">
        <v>0</v>
      </c>
    </row>
    <row r="72" spans="1:44" ht="27" hidden="1" customHeight="1">
      <c r="E72" s="2408" t="s">
        <v>217</v>
      </c>
      <c r="F72" s="2408"/>
      <c r="G72" s="2409"/>
      <c r="H72" s="2409"/>
      <c r="I72" s="2409"/>
      <c r="J72" s="2409"/>
      <c r="K72" s="2409"/>
      <c r="L72" s="2409"/>
      <c r="M72" s="2409"/>
      <c r="N72" s="2409"/>
      <c r="O72" s="2409"/>
      <c r="P72" s="2409"/>
      <c r="Q72" s="2409"/>
      <c r="R72" s="2409"/>
      <c r="S72" s="2409"/>
      <c r="T72" s="2409"/>
      <c r="U72" s="2409"/>
      <c r="V72" s="2409"/>
      <c r="W72" s="2409"/>
      <c r="AR72" s="44">
        <v>0</v>
      </c>
    </row>
    <row r="73" spans="1:44" ht="17.25" hidden="1" customHeight="1">
      <c r="E73" s="2408" t="s">
        <v>218</v>
      </c>
      <c r="F73" s="2408"/>
      <c r="G73" s="2409"/>
      <c r="H73" s="2409"/>
      <c r="I73" s="2409"/>
      <c r="J73" s="2409"/>
      <c r="K73" s="2409"/>
      <c r="L73" s="2409"/>
      <c r="M73" s="2409"/>
      <c r="N73" s="2409"/>
      <c r="O73" s="2409"/>
      <c r="P73" s="2409"/>
      <c r="Q73" s="2409"/>
      <c r="R73" s="2409"/>
      <c r="S73" s="2409"/>
      <c r="T73" s="2409"/>
      <c r="U73" s="2409"/>
      <c r="V73" s="2409"/>
      <c r="W73" s="2409"/>
      <c r="AR73" s="44">
        <v>0</v>
      </c>
    </row>
    <row r="74" spans="1:44" ht="15" hidden="1" customHeight="1">
      <c r="E74" s="277"/>
      <c r="F74" s="1204"/>
      <c r="G74" s="95"/>
      <c r="H74" s="95"/>
      <c r="I74" s="95"/>
      <c r="J74" s="95"/>
      <c r="K74" s="95"/>
      <c r="L74" s="95"/>
      <c r="M74" s="95"/>
      <c r="N74" s="95"/>
      <c r="O74" s="95"/>
      <c r="P74" s="95"/>
      <c r="Q74" s="95"/>
      <c r="R74" s="95"/>
      <c r="S74" s="95"/>
      <c r="T74" s="95"/>
      <c r="U74" s="95"/>
      <c r="V74" s="95"/>
      <c r="W74" s="95"/>
      <c r="AR74" s="44">
        <v>0</v>
      </c>
    </row>
    <row r="75" spans="1:44" ht="15" hidden="1" customHeight="1">
      <c r="E75" s="2410" t="s">
        <v>219</v>
      </c>
      <c r="F75" s="2410"/>
      <c r="G75" s="2410"/>
      <c r="H75" s="2410"/>
      <c r="I75" s="2410"/>
      <c r="J75" s="2410"/>
      <c r="K75" s="2410"/>
      <c r="L75" s="2410"/>
      <c r="M75" s="2410"/>
      <c r="N75" s="2410"/>
      <c r="O75" s="2410"/>
      <c r="P75" s="2410"/>
      <c r="Q75" s="2410"/>
      <c r="R75" s="2410"/>
      <c r="S75" s="2410"/>
      <c r="T75" s="2410"/>
      <c r="U75" s="2410"/>
      <c r="V75" s="2410"/>
      <c r="W75" s="2410"/>
      <c r="AR75" s="44">
        <v>0</v>
      </c>
    </row>
    <row r="76" spans="1:44" ht="17.25" hidden="1" customHeight="1">
      <c r="E76" s="2408" t="s">
        <v>220</v>
      </c>
      <c r="F76" s="2408"/>
      <c r="G76" s="2409"/>
      <c r="H76" s="2409"/>
      <c r="I76" s="2409"/>
      <c r="J76" s="2409"/>
      <c r="K76" s="2409"/>
      <c r="L76" s="2409"/>
      <c r="M76" s="2409"/>
      <c r="N76" s="2409"/>
      <c r="O76" s="2409"/>
      <c r="P76" s="2409"/>
      <c r="Q76" s="2409"/>
      <c r="R76" s="2409"/>
      <c r="S76" s="2409"/>
      <c r="T76" s="2409"/>
      <c r="U76" s="2409"/>
      <c r="V76" s="2409"/>
      <c r="W76" s="2409"/>
      <c r="AR76" s="44">
        <v>0</v>
      </c>
    </row>
    <row r="77" spans="1:44" ht="17.25" hidden="1" customHeight="1">
      <c r="E77" s="2408" t="s">
        <v>221</v>
      </c>
      <c r="F77" s="2408"/>
      <c r="G77" s="2409"/>
      <c r="H77" s="2409"/>
      <c r="I77" s="2409"/>
      <c r="J77" s="2409"/>
      <c r="K77" s="2409"/>
      <c r="L77" s="2409"/>
      <c r="M77" s="2409"/>
      <c r="N77" s="2409"/>
      <c r="O77" s="2409"/>
      <c r="P77" s="2409"/>
      <c r="Q77" s="2409"/>
      <c r="R77" s="2409"/>
      <c r="S77" s="2409"/>
      <c r="T77" s="2409"/>
      <c r="U77" s="2409"/>
      <c r="V77" s="2409"/>
      <c r="W77" s="2409"/>
      <c r="AR77" s="44">
        <v>0</v>
      </c>
    </row>
    <row r="78" spans="1:44" s="2254" customFormat="1" ht="11.25" hidden="1" customHeight="1">
      <c r="A78" s="214"/>
      <c r="B78" s="214"/>
      <c r="Y78" s="1178"/>
      <c r="Z78" s="1178"/>
      <c r="AA78" s="1178"/>
      <c r="AB78" s="1178"/>
      <c r="AC78" s="1178"/>
      <c r="AD78" s="1178"/>
      <c r="AE78" s="1178"/>
      <c r="AF78" s="1178"/>
      <c r="AG78" s="1178"/>
      <c r="AH78" s="1178"/>
      <c r="AI78" s="1178"/>
      <c r="AJ78" s="1178"/>
      <c r="AK78" s="1178"/>
      <c r="AL78" s="1178"/>
      <c r="AM78" s="1178"/>
      <c r="AN78" s="1178"/>
      <c r="AO78" s="1178"/>
      <c r="AP78" s="1178"/>
      <c r="AQ78" s="1178"/>
      <c r="AR78" s="1269">
        <v>0</v>
      </c>
    </row>
    <row r="79" spans="1:44" s="2254" customFormat="1" ht="17.25" hidden="1" customHeight="1">
      <c r="A79" s="258"/>
      <c r="C79" s="146"/>
      <c r="D79" s="2371">
        <v>1</v>
      </c>
      <c r="E79" s="2379" t="s">
        <v>222</v>
      </c>
      <c r="F79" s="2381" t="s">
        <v>19</v>
      </c>
      <c r="G79" s="2379"/>
      <c r="H79" s="2384"/>
      <c r="I79" s="2386"/>
      <c r="J79" s="2388"/>
      <c r="K79" s="2373"/>
      <c r="L79" s="2373"/>
      <c r="M79" s="2373"/>
      <c r="N79" s="2375"/>
      <c r="O79" s="2373"/>
      <c r="P79" s="2373"/>
      <c r="Q79" s="2373"/>
      <c r="R79" s="2378"/>
      <c r="S79" s="2373"/>
      <c r="T79" s="1389"/>
      <c r="U79" s="1389"/>
      <c r="V79" s="1391"/>
      <c r="W79" s="1215"/>
      <c r="Y79" s="1186"/>
      <c r="Z79" s="1186"/>
      <c r="AA79" s="1186"/>
      <c r="AB79" s="1186"/>
      <c r="AC79" s="1186" t="s">
        <v>223</v>
      </c>
      <c r="AD79" s="1186" t="s">
        <v>224</v>
      </c>
      <c r="AE79" s="1186" t="s">
        <v>225</v>
      </c>
      <c r="AF79" s="1186" t="s">
        <v>226</v>
      </c>
      <c r="AG79" s="1186"/>
      <c r="AH79" s="1186" t="str">
        <f>IF($E$79=0,"",$E$79)</f>
        <v>Тариф на питьевую воду (питьевое водоснабжение)</v>
      </c>
      <c r="AI79" s="1186" t="str">
        <f>IF($G$79=0,"",$G$79)</f>
        <v/>
      </c>
      <c r="AJ79" s="1186" t="str">
        <f>IF($J$79=0,"",$J$79)</f>
        <v/>
      </c>
      <c r="AK79" s="1186" t="str">
        <f>IF($K$79="нет","без дифференциации",IF($N$79=0,"",$N$79))</f>
        <v/>
      </c>
      <c r="AL79" s="1186" t="str">
        <f>IF($O$79="нет","без дифференциации",IF($R$79=0,"",$R$79))</f>
        <v/>
      </c>
      <c r="AM79" s="1186" t="str">
        <f>IF($S$79="нет","без дифференциации",IF($V$79=0,"",$V$79))</f>
        <v/>
      </c>
      <c r="AN79" s="1186">
        <f>$I$79</f>
        <v>0</v>
      </c>
      <c r="AO79" s="1186" t="str">
        <f>$I$79&amp;"."&amp;$M$79</f>
        <v>.</v>
      </c>
      <c r="AP79" s="1186" t="str">
        <f>$I$79&amp;"."&amp;$M$79&amp;"."&amp;$Q$79</f>
        <v>..</v>
      </c>
      <c r="AQ79" s="1186" t="str">
        <f>$I$79&amp;"."&amp;$M$79&amp;"."&amp;$Q$79&amp;"."&amp;$U$79</f>
        <v>...</v>
      </c>
      <c r="AR79" s="1269">
        <v>0</v>
      </c>
    </row>
    <row r="80" spans="1:44" s="2254" customFormat="1" ht="17.25" hidden="1" customHeight="1">
      <c r="A80" s="258"/>
      <c r="C80" s="257"/>
      <c r="D80" s="2371"/>
      <c r="E80" s="2379"/>
      <c r="F80" s="2382"/>
      <c r="G80" s="2379"/>
      <c r="H80" s="2385"/>
      <c r="I80" s="2387"/>
      <c r="J80" s="2389"/>
      <c r="K80" s="2374"/>
      <c r="L80" s="2374"/>
      <c r="M80" s="2374"/>
      <c r="N80" s="2376"/>
      <c r="O80" s="2374"/>
      <c r="P80" s="2374"/>
      <c r="Q80" s="2374"/>
      <c r="R80" s="2377"/>
      <c r="S80" s="2374"/>
      <c r="T80" s="1216"/>
      <c r="U80" s="1216"/>
      <c r="V80" s="1216"/>
      <c r="W80" s="1217"/>
      <c r="Y80" s="1178"/>
      <c r="Z80" s="1178"/>
      <c r="AA80" s="1178"/>
      <c r="AB80" s="1178"/>
      <c r="AC80" s="1178"/>
      <c r="AD80" s="1178"/>
      <c r="AE80" s="1178"/>
      <c r="AF80" s="1178"/>
      <c r="AG80" s="1178"/>
      <c r="AH80" s="1178"/>
      <c r="AI80" s="1178"/>
      <c r="AJ80" s="1178"/>
      <c r="AK80" s="1178"/>
      <c r="AL80" s="1178"/>
      <c r="AM80" s="1178"/>
      <c r="AN80" s="1178"/>
      <c r="AO80" s="1178"/>
      <c r="AP80" s="1178"/>
      <c r="AQ80" s="1178"/>
      <c r="AR80" s="1269">
        <v>0</v>
      </c>
    </row>
    <row r="81" spans="1:44" s="2254" customFormat="1" ht="17.25" hidden="1" customHeight="1">
      <c r="A81" s="258"/>
      <c r="C81" s="146"/>
      <c r="D81" s="2371"/>
      <c r="E81" s="2379"/>
      <c r="F81" s="2382"/>
      <c r="G81" s="2379"/>
      <c r="H81" s="2385"/>
      <c r="I81" s="2387"/>
      <c r="J81" s="2390"/>
      <c r="K81" s="2374"/>
      <c r="L81" s="2374"/>
      <c r="M81" s="2374"/>
      <c r="N81" s="2377"/>
      <c r="O81" s="2374"/>
      <c r="P81" s="1390"/>
      <c r="Q81" s="1216"/>
      <c r="R81" s="1216"/>
      <c r="S81" s="266"/>
      <c r="T81" s="266"/>
      <c r="U81" s="266"/>
      <c r="V81" s="266"/>
      <c r="W81" s="1217"/>
      <c r="Y81" s="1186"/>
      <c r="Z81" s="1186"/>
      <c r="AA81" s="1186"/>
      <c r="AB81" s="1186"/>
      <c r="AC81" s="1186"/>
      <c r="AD81" s="1186"/>
      <c r="AE81" s="1186"/>
      <c r="AF81" s="1186"/>
      <c r="AG81" s="1186"/>
      <c r="AH81" s="1186"/>
      <c r="AI81" s="1186"/>
      <c r="AJ81" s="1186"/>
      <c r="AK81" s="1186"/>
      <c r="AL81" s="1186"/>
      <c r="AM81" s="1186"/>
      <c r="AN81" s="1186"/>
      <c r="AO81" s="1186"/>
      <c r="AP81" s="1186"/>
      <c r="AQ81" s="1186"/>
      <c r="AR81" s="1360">
        <v>0</v>
      </c>
    </row>
    <row r="82" spans="1:44" s="2254" customFormat="1" ht="17.25" hidden="1" customHeight="1">
      <c r="A82" s="258"/>
      <c r="C82" s="257"/>
      <c r="D82" s="2371"/>
      <c r="E82" s="2379"/>
      <c r="F82" s="2382"/>
      <c r="G82" s="2379"/>
      <c r="H82" s="2385"/>
      <c r="I82" s="2387"/>
      <c r="J82" s="2390"/>
      <c r="K82" s="2374"/>
      <c r="L82" s="1216"/>
      <c r="M82" s="1216"/>
      <c r="N82" s="1216"/>
      <c r="O82" s="1216"/>
      <c r="P82" s="1216"/>
      <c r="Q82" s="1216"/>
      <c r="R82" s="1216"/>
      <c r="S82" s="266"/>
      <c r="T82" s="266"/>
      <c r="U82" s="266"/>
      <c r="V82" s="266"/>
      <c r="W82" s="1217"/>
      <c r="Y82" s="1178"/>
      <c r="Z82" s="1178"/>
      <c r="AA82" s="1178"/>
      <c r="AB82" s="1178"/>
      <c r="AC82" s="1178"/>
      <c r="AD82" s="1178"/>
      <c r="AE82" s="1178"/>
      <c r="AF82" s="1178"/>
      <c r="AG82" s="1178"/>
      <c r="AH82" s="1178"/>
      <c r="AI82" s="1178"/>
      <c r="AJ82" s="1178"/>
      <c r="AK82" s="1178"/>
      <c r="AL82" s="1178"/>
      <c r="AM82" s="1178"/>
      <c r="AN82" s="1178"/>
      <c r="AO82" s="1178"/>
      <c r="AP82" s="1178"/>
      <c r="AQ82" s="1178"/>
      <c r="AR82" s="1360">
        <v>0</v>
      </c>
    </row>
    <row r="83" spans="1:44" s="2254" customFormat="1" ht="17.25" hidden="1" customHeight="1">
      <c r="A83" s="258"/>
      <c r="C83" s="257"/>
      <c r="D83" s="2372"/>
      <c r="E83" s="2380"/>
      <c r="F83" s="2383"/>
      <c r="G83" s="2380"/>
      <c r="H83" s="1218"/>
      <c r="I83" s="1219"/>
      <c r="J83" s="1219"/>
      <c r="K83" s="1219"/>
      <c r="L83" s="1219"/>
      <c r="M83" s="1219"/>
      <c r="N83" s="1219"/>
      <c r="O83" s="1219"/>
      <c r="P83" s="1219"/>
      <c r="Q83" s="1219"/>
      <c r="R83" s="1219"/>
      <c r="S83" s="1220"/>
      <c r="T83" s="1220"/>
      <c r="U83" s="1220"/>
      <c r="V83" s="1220"/>
      <c r="W83" s="1221"/>
      <c r="Y83" s="1178"/>
      <c r="Z83" s="1178"/>
      <c r="AA83" s="1178"/>
      <c r="AB83" s="1178"/>
      <c r="AC83" s="1178"/>
      <c r="AD83" s="1178"/>
      <c r="AE83" s="1178"/>
      <c r="AF83" s="1178"/>
      <c r="AG83" s="1178"/>
      <c r="AH83" s="1178"/>
      <c r="AI83" s="1178"/>
      <c r="AJ83" s="1178"/>
      <c r="AK83" s="1178"/>
      <c r="AL83" s="1178"/>
      <c r="AM83" s="1178"/>
      <c r="AN83" s="1178"/>
      <c r="AO83" s="1178"/>
      <c r="AP83" s="1178"/>
      <c r="AQ83" s="1178"/>
      <c r="AR83" s="1269">
        <v>0</v>
      </c>
    </row>
    <row r="84" spans="1:44" s="2254" customFormat="1" ht="17.25" hidden="1" customHeight="1">
      <c r="A84" s="258"/>
      <c r="C84" s="146"/>
      <c r="D84" s="2371">
        <v>2</v>
      </c>
      <c r="E84" s="2379" t="s">
        <v>227</v>
      </c>
      <c r="F84" s="2381" t="s">
        <v>19</v>
      </c>
      <c r="G84" s="2379"/>
      <c r="H84" s="2384"/>
      <c r="I84" s="2386"/>
      <c r="J84" s="2388"/>
      <c r="K84" s="2373"/>
      <c r="L84" s="2373"/>
      <c r="M84" s="2373"/>
      <c r="N84" s="2375"/>
      <c r="O84" s="2373"/>
      <c r="P84" s="2373"/>
      <c r="Q84" s="2373"/>
      <c r="R84" s="2378"/>
      <c r="S84" s="2373"/>
      <c r="T84" s="1362"/>
      <c r="U84" s="1362"/>
      <c r="V84" s="1364"/>
      <c r="W84" s="1215"/>
      <c r="X84" s="1186"/>
      <c r="Y84" s="1186"/>
      <c r="Z84" s="1186"/>
      <c r="AA84" s="1186"/>
      <c r="AB84" s="1186"/>
      <c r="AC84" s="1186" t="s">
        <v>228</v>
      </c>
      <c r="AD84" s="1186" t="s">
        <v>229</v>
      </c>
      <c r="AE84" s="1186" t="s">
        <v>230</v>
      </c>
      <c r="AF84" s="1186" t="s">
        <v>231</v>
      </c>
      <c r="AG84" s="1186"/>
      <c r="AH84" s="1186" t="str">
        <f>IF($E$84=0,"",$E$84)</f>
        <v>Тариф на техническую воду</v>
      </c>
      <c r="AI84" s="1186" t="str">
        <f>IF($G$84=0,"",$G$84)</f>
        <v/>
      </c>
      <c r="AJ84" s="1186" t="str">
        <f>IF($J$84=0,"",$J$84)</f>
        <v/>
      </c>
      <c r="AK84" s="1186" t="str">
        <f>IF($K$84="нет","без дифференциации",IF($N$84=0,"",$N$84))</f>
        <v/>
      </c>
      <c r="AL84" s="1186" t="str">
        <f>IF($O$84="нет","без дифференциации",IF($R$84=0,"",$R$84))</f>
        <v/>
      </c>
      <c r="AM84" s="1186" t="str">
        <f>IF($S$84="нет","без дифференциации",IF($V$84=0,"",$V$84))</f>
        <v/>
      </c>
      <c r="AN84" s="1690">
        <f>$I$84</f>
        <v>0</v>
      </c>
      <c r="AO84" s="1186" t="str">
        <f>$I$84&amp;"."&amp;$M$84</f>
        <v>.</v>
      </c>
      <c r="AP84" s="1178" t="str">
        <f>$I$84&amp;"."&amp;$M$84&amp;"."&amp;$Q$84</f>
        <v>..</v>
      </c>
      <c r="AQ84" s="1178" t="str">
        <f>$I$84&amp;"."&amp;$M$84&amp;"."&amp;$Q$84&amp;"."&amp;$U$84</f>
        <v>...</v>
      </c>
      <c r="AR84" s="1269">
        <v>0</v>
      </c>
    </row>
    <row r="85" spans="1:44" s="2254" customFormat="1" ht="17.25" hidden="1" customHeight="1">
      <c r="A85" s="258"/>
      <c r="C85" s="257"/>
      <c r="D85" s="2371"/>
      <c r="E85" s="2379"/>
      <c r="F85" s="2382"/>
      <c r="G85" s="2379"/>
      <c r="H85" s="2385"/>
      <c r="I85" s="2387"/>
      <c r="J85" s="2389"/>
      <c r="K85" s="2374"/>
      <c r="L85" s="2374"/>
      <c r="M85" s="2374"/>
      <c r="N85" s="2376"/>
      <c r="O85" s="2374"/>
      <c r="P85" s="2374"/>
      <c r="Q85" s="2374"/>
      <c r="R85" s="2377"/>
      <c r="S85" s="2374"/>
      <c r="T85" s="1216"/>
      <c r="U85" s="1216"/>
      <c r="V85" s="1216"/>
      <c r="W85" s="1217"/>
      <c r="X85" s="1178"/>
      <c r="Y85" s="1178"/>
      <c r="Z85" s="1178"/>
      <c r="AA85" s="1178"/>
      <c r="AB85" s="1178"/>
      <c r="AC85" s="1178"/>
      <c r="AD85" s="1178"/>
      <c r="AE85" s="1178"/>
      <c r="AF85" s="1178"/>
      <c r="AG85" s="1178"/>
      <c r="AH85" s="1178"/>
      <c r="AI85" s="1178"/>
      <c r="AJ85" s="1178"/>
      <c r="AK85" s="1178"/>
      <c r="AL85" s="1178"/>
      <c r="AM85" s="1178"/>
      <c r="AN85" s="1178"/>
      <c r="AO85" s="1178"/>
      <c r="AP85" s="1178"/>
      <c r="AQ85" s="1178"/>
      <c r="AR85" s="1269">
        <v>0</v>
      </c>
    </row>
    <row r="86" spans="1:44" s="2254" customFormat="1" ht="17.25" hidden="1" customHeight="1">
      <c r="A86" s="258"/>
      <c r="C86" s="257"/>
      <c r="D86" s="2372"/>
      <c r="E86" s="2380"/>
      <c r="F86" s="2382"/>
      <c r="G86" s="2380"/>
      <c r="H86" s="2385"/>
      <c r="I86" s="2387"/>
      <c r="J86" s="2390"/>
      <c r="K86" s="2374"/>
      <c r="L86" s="2374"/>
      <c r="M86" s="2374"/>
      <c r="N86" s="2377"/>
      <c r="O86" s="2374"/>
      <c r="P86" s="1363"/>
      <c r="Q86" s="1216"/>
      <c r="R86" s="1216"/>
      <c r="S86" s="266"/>
      <c r="T86" s="266"/>
      <c r="U86" s="266"/>
      <c r="V86" s="266"/>
      <c r="W86" s="1217"/>
      <c r="X86" s="1178"/>
      <c r="Y86" s="1178"/>
      <c r="Z86" s="1178"/>
      <c r="AA86" s="1178"/>
      <c r="AB86" s="1178"/>
      <c r="AC86" s="1178"/>
      <c r="AD86" s="1178"/>
      <c r="AE86" s="1178"/>
      <c r="AF86" s="1178"/>
      <c r="AG86" s="1178"/>
      <c r="AH86" s="1178"/>
      <c r="AI86" s="1178"/>
      <c r="AJ86" s="1178"/>
      <c r="AK86" s="1178"/>
      <c r="AL86" s="1178"/>
      <c r="AM86" s="1178"/>
      <c r="AN86" s="1178"/>
      <c r="AO86" s="1178"/>
      <c r="AP86" s="1178"/>
      <c r="AQ86" s="1178"/>
      <c r="AR86" s="1269">
        <v>0</v>
      </c>
    </row>
    <row r="87" spans="1:44" s="2254" customFormat="1" ht="17.25" hidden="1" customHeight="1">
      <c r="A87" s="258"/>
      <c r="C87" s="257"/>
      <c r="D87" s="2372"/>
      <c r="E87" s="2380"/>
      <c r="F87" s="2382"/>
      <c r="G87" s="2380"/>
      <c r="H87" s="2385"/>
      <c r="I87" s="2387"/>
      <c r="J87" s="2390"/>
      <c r="K87" s="2374"/>
      <c r="L87" s="1216"/>
      <c r="M87" s="1216"/>
      <c r="N87" s="1216"/>
      <c r="O87" s="1216"/>
      <c r="P87" s="1216"/>
      <c r="Q87" s="1216"/>
      <c r="R87" s="1216"/>
      <c r="S87" s="266"/>
      <c r="T87" s="266"/>
      <c r="U87" s="266"/>
      <c r="V87" s="266"/>
      <c r="W87" s="1217"/>
      <c r="X87" s="1178"/>
      <c r="Y87" s="1178"/>
      <c r="Z87" s="1178"/>
      <c r="AA87" s="1178"/>
      <c r="AB87" s="1178"/>
      <c r="AC87" s="1178"/>
      <c r="AD87" s="1178"/>
      <c r="AE87" s="1178"/>
      <c r="AF87" s="1178"/>
      <c r="AG87" s="1178"/>
      <c r="AH87" s="1178"/>
      <c r="AI87" s="1178"/>
      <c r="AJ87" s="1178"/>
      <c r="AK87" s="1178"/>
      <c r="AL87" s="1178"/>
      <c r="AM87" s="1178"/>
      <c r="AN87" s="1178"/>
      <c r="AO87" s="1178"/>
      <c r="AP87" s="1178"/>
      <c r="AQ87" s="1178"/>
      <c r="AR87" s="1269">
        <v>0</v>
      </c>
    </row>
    <row r="88" spans="1:44" s="2254" customFormat="1" ht="17.25" hidden="1" customHeight="1">
      <c r="A88" s="258"/>
      <c r="C88" s="257"/>
      <c r="D88" s="2372"/>
      <c r="E88" s="2380"/>
      <c r="F88" s="2383"/>
      <c r="G88" s="2380"/>
      <c r="H88" s="1218"/>
      <c r="I88" s="1219"/>
      <c r="J88" s="1219"/>
      <c r="K88" s="1219"/>
      <c r="L88" s="1219"/>
      <c r="M88" s="1219"/>
      <c r="N88" s="1219"/>
      <c r="O88" s="1219"/>
      <c r="P88" s="1219"/>
      <c r="Q88" s="1219"/>
      <c r="R88" s="1219"/>
      <c r="S88" s="1220"/>
      <c r="T88" s="1220"/>
      <c r="U88" s="1220"/>
      <c r="V88" s="1220"/>
      <c r="W88" s="1221"/>
      <c r="X88" s="1178"/>
      <c r="Y88" s="1178"/>
      <c r="Z88" s="1178"/>
      <c r="AA88" s="1178"/>
      <c r="AB88" s="1178"/>
      <c r="AC88" s="1178"/>
      <c r="AD88" s="1178"/>
      <c r="AE88" s="1178"/>
      <c r="AF88" s="1178"/>
      <c r="AG88" s="1178"/>
      <c r="AH88" s="1178"/>
      <c r="AI88" s="1178"/>
      <c r="AJ88" s="1178"/>
      <c r="AK88" s="1178"/>
      <c r="AL88" s="1178"/>
      <c r="AM88" s="1178"/>
      <c r="AN88" s="1178"/>
      <c r="AO88" s="1178"/>
      <c r="AP88" s="1178"/>
      <c r="AQ88" s="1178"/>
      <c r="AR88" s="1269">
        <v>0</v>
      </c>
    </row>
    <row r="89" spans="1:44" s="2254" customFormat="1" ht="17.25" hidden="1" customHeight="1">
      <c r="A89" s="258"/>
      <c r="C89" s="146"/>
      <c r="D89" s="2371">
        <v>3</v>
      </c>
      <c r="E89" s="2379" t="s">
        <v>232</v>
      </c>
      <c r="F89" s="2381" t="s">
        <v>19</v>
      </c>
      <c r="G89" s="2379"/>
      <c r="H89" s="2384"/>
      <c r="I89" s="2386"/>
      <c r="J89" s="2388"/>
      <c r="K89" s="2373"/>
      <c r="L89" s="2373"/>
      <c r="M89" s="2373"/>
      <c r="N89" s="2375"/>
      <c r="O89" s="2373"/>
      <c r="P89" s="2373"/>
      <c r="Q89" s="2373"/>
      <c r="R89" s="2378"/>
      <c r="S89" s="2373"/>
      <c r="T89" s="1362"/>
      <c r="U89" s="1362"/>
      <c r="V89" s="1364"/>
      <c r="W89" s="1215"/>
      <c r="X89" s="1186"/>
      <c r="Y89" s="1186"/>
      <c r="Z89" s="1186"/>
      <c r="AA89" s="1186"/>
      <c r="AB89" s="1186"/>
      <c r="AC89" s="1186" t="s">
        <v>233</v>
      </c>
      <c r="AD89" s="1186" t="s">
        <v>234</v>
      </c>
      <c r="AE89" s="1186" t="s">
        <v>235</v>
      </c>
      <c r="AF89" s="1186" t="s">
        <v>236</v>
      </c>
      <c r="AG89" s="1186"/>
      <c r="AH89" s="1186" t="str">
        <f>IF($E$89=0,"",$E$89)</f>
        <v>Тариф на транспортировку воды</v>
      </c>
      <c r="AI89" s="1186" t="str">
        <f>IF($G$89=0,"",$G$89)</f>
        <v/>
      </c>
      <c r="AJ89" s="1186" t="str">
        <f>IF($J$89=0,"",$J$89)</f>
        <v/>
      </c>
      <c r="AK89" s="1186" t="str">
        <f>IF($K$89="нет","без дифференциации",IF($N$89=0,"",$N$89))</f>
        <v/>
      </c>
      <c r="AL89" s="1186" t="str">
        <f>IF($O$89="нет","без дифференциации",IF($R$89=0,"",$R$89))</f>
        <v/>
      </c>
      <c r="AM89" s="1186" t="str">
        <f>IF($S$89="нет","без дифференциации",IF($V$89=0,"",$V$89))</f>
        <v/>
      </c>
      <c r="AN89" s="1690">
        <f>$I$89</f>
        <v>0</v>
      </c>
      <c r="AO89" s="1186" t="str">
        <f>$I$89&amp;"."&amp;$M$89</f>
        <v>.</v>
      </c>
      <c r="AP89" s="1178" t="str">
        <f>$I$89&amp;"."&amp;$M$89&amp;"."&amp;$Q$89</f>
        <v>..</v>
      </c>
      <c r="AQ89" s="1178" t="str">
        <f>$I$89&amp;"."&amp;$M$89&amp;"."&amp;$Q$89&amp;"."&amp;$U$89</f>
        <v>...</v>
      </c>
      <c r="AR89" s="1269">
        <v>0</v>
      </c>
    </row>
    <row r="90" spans="1:44" s="2254" customFormat="1" ht="17.25" hidden="1" customHeight="1">
      <c r="A90" s="258"/>
      <c r="C90" s="257"/>
      <c r="D90" s="2371"/>
      <c r="E90" s="2379"/>
      <c r="F90" s="2382"/>
      <c r="G90" s="2379"/>
      <c r="H90" s="2385"/>
      <c r="I90" s="2387"/>
      <c r="J90" s="2389"/>
      <c r="K90" s="2374"/>
      <c r="L90" s="2374"/>
      <c r="M90" s="2374"/>
      <c r="N90" s="2376"/>
      <c r="O90" s="2374"/>
      <c r="P90" s="2374"/>
      <c r="Q90" s="2374"/>
      <c r="R90" s="2377"/>
      <c r="S90" s="2374"/>
      <c r="T90" s="1216"/>
      <c r="U90" s="1216"/>
      <c r="V90" s="1216"/>
      <c r="W90" s="1217"/>
      <c r="X90" s="1178"/>
      <c r="Y90" s="1178"/>
      <c r="Z90" s="1178"/>
      <c r="AA90" s="1178"/>
      <c r="AB90" s="1178"/>
      <c r="AC90" s="1178"/>
      <c r="AD90" s="1178"/>
      <c r="AE90" s="1178"/>
      <c r="AF90" s="1178"/>
      <c r="AG90" s="1178"/>
      <c r="AH90" s="1178"/>
      <c r="AI90" s="1178"/>
      <c r="AJ90" s="1178"/>
      <c r="AK90" s="1178"/>
      <c r="AL90" s="1178"/>
      <c r="AM90" s="1178"/>
      <c r="AN90" s="1178"/>
      <c r="AO90" s="1178"/>
      <c r="AP90" s="1178"/>
      <c r="AQ90" s="1178"/>
      <c r="AR90" s="1269">
        <v>0</v>
      </c>
    </row>
    <row r="91" spans="1:44" s="2254" customFormat="1" ht="17.25" hidden="1" customHeight="1">
      <c r="A91" s="258"/>
      <c r="C91" s="257"/>
      <c r="D91" s="2372"/>
      <c r="E91" s="2380"/>
      <c r="F91" s="2382"/>
      <c r="G91" s="2380"/>
      <c r="H91" s="2385"/>
      <c r="I91" s="2387"/>
      <c r="J91" s="2390"/>
      <c r="K91" s="2374"/>
      <c r="L91" s="2374"/>
      <c r="M91" s="2374"/>
      <c r="N91" s="2377"/>
      <c r="O91" s="2374"/>
      <c r="P91" s="1363"/>
      <c r="Q91" s="1216"/>
      <c r="R91" s="1216"/>
      <c r="S91" s="266"/>
      <c r="T91" s="266"/>
      <c r="U91" s="266"/>
      <c r="V91" s="266"/>
      <c r="W91" s="1217"/>
      <c r="X91" s="1178"/>
      <c r="Y91" s="1178"/>
      <c r="Z91" s="1178"/>
      <c r="AA91" s="1178"/>
      <c r="AB91" s="1178"/>
      <c r="AC91" s="1178"/>
      <c r="AD91" s="1178"/>
      <c r="AE91" s="1178"/>
      <c r="AF91" s="1178"/>
      <c r="AG91" s="1178"/>
      <c r="AH91" s="1178"/>
      <c r="AI91" s="1178"/>
      <c r="AJ91" s="1178"/>
      <c r="AK91" s="1178"/>
      <c r="AL91" s="1178"/>
      <c r="AM91" s="1178"/>
      <c r="AN91" s="1178"/>
      <c r="AO91" s="1178"/>
      <c r="AP91" s="1178"/>
      <c r="AQ91" s="1178"/>
      <c r="AR91" s="1269">
        <v>0</v>
      </c>
    </row>
    <row r="92" spans="1:44" s="2254" customFormat="1" ht="17.25" hidden="1" customHeight="1">
      <c r="A92" s="258"/>
      <c r="C92" s="257"/>
      <c r="D92" s="2372"/>
      <c r="E92" s="2380"/>
      <c r="F92" s="2382"/>
      <c r="G92" s="2380"/>
      <c r="H92" s="2385"/>
      <c r="I92" s="2387"/>
      <c r="J92" s="2390"/>
      <c r="K92" s="2374"/>
      <c r="L92" s="1216"/>
      <c r="M92" s="1216"/>
      <c r="N92" s="1216"/>
      <c r="O92" s="1216"/>
      <c r="P92" s="1216"/>
      <c r="Q92" s="1216"/>
      <c r="R92" s="1216"/>
      <c r="S92" s="266"/>
      <c r="T92" s="266"/>
      <c r="U92" s="266"/>
      <c r="V92" s="266"/>
      <c r="W92" s="1217"/>
      <c r="X92" s="1178"/>
      <c r="Y92" s="1178"/>
      <c r="Z92" s="1178"/>
      <c r="AA92" s="1178"/>
      <c r="AB92" s="1178"/>
      <c r="AC92" s="1178"/>
      <c r="AD92" s="1178"/>
      <c r="AE92" s="1178"/>
      <c r="AF92" s="1178"/>
      <c r="AG92" s="1178"/>
      <c r="AH92" s="1178"/>
      <c r="AI92" s="1178"/>
      <c r="AJ92" s="1178"/>
      <c r="AK92" s="1178"/>
      <c r="AL92" s="1178"/>
      <c r="AM92" s="1178"/>
      <c r="AN92" s="1178"/>
      <c r="AO92" s="1178"/>
      <c r="AP92" s="1178"/>
      <c r="AQ92" s="1178"/>
      <c r="AR92" s="1269">
        <v>0</v>
      </c>
    </row>
    <row r="93" spans="1:44" s="2254" customFormat="1" ht="17.25" hidden="1" customHeight="1">
      <c r="A93" s="258"/>
      <c r="C93" s="257"/>
      <c r="D93" s="2372"/>
      <c r="E93" s="2380"/>
      <c r="F93" s="2383"/>
      <c r="G93" s="2380"/>
      <c r="H93" s="1218"/>
      <c r="I93" s="1219"/>
      <c r="J93" s="1219"/>
      <c r="K93" s="1219"/>
      <c r="L93" s="1219"/>
      <c r="M93" s="1219"/>
      <c r="N93" s="1219"/>
      <c r="O93" s="1219"/>
      <c r="P93" s="1219"/>
      <c r="Q93" s="1219"/>
      <c r="R93" s="1219"/>
      <c r="S93" s="1220"/>
      <c r="T93" s="1220"/>
      <c r="U93" s="1220"/>
      <c r="V93" s="1220"/>
      <c r="W93" s="1221"/>
      <c r="X93" s="1178"/>
      <c r="Y93" s="1178"/>
      <c r="Z93" s="1178"/>
      <c r="AA93" s="1178"/>
      <c r="AB93" s="1178"/>
      <c r="AC93" s="1178"/>
      <c r="AD93" s="1178"/>
      <c r="AE93" s="1178"/>
      <c r="AF93" s="1178"/>
      <c r="AG93" s="1178"/>
      <c r="AH93" s="1178"/>
      <c r="AI93" s="1178"/>
      <c r="AJ93" s="1178"/>
      <c r="AK93" s="1178"/>
      <c r="AL93" s="1178"/>
      <c r="AM93" s="1178"/>
      <c r="AN93" s="1178"/>
      <c r="AO93" s="1178"/>
      <c r="AP93" s="1178"/>
      <c r="AQ93" s="1178"/>
      <c r="AR93" s="1269">
        <v>0</v>
      </c>
    </row>
    <row r="94" spans="1:44" s="2254" customFormat="1" ht="17.25" hidden="1" customHeight="1">
      <c r="A94" s="258"/>
      <c r="C94" s="146"/>
      <c r="D94" s="2371">
        <v>4</v>
      </c>
      <c r="E94" s="2379" t="s">
        <v>237</v>
      </c>
      <c r="F94" s="2381" t="s">
        <v>19</v>
      </c>
      <c r="G94" s="2379"/>
      <c r="H94" s="2384"/>
      <c r="I94" s="2386"/>
      <c r="J94" s="2388"/>
      <c r="K94" s="2373"/>
      <c r="L94" s="2373"/>
      <c r="M94" s="2373"/>
      <c r="N94" s="2375"/>
      <c r="O94" s="2373"/>
      <c r="P94" s="2373"/>
      <c r="Q94" s="2373"/>
      <c r="R94" s="2378"/>
      <c r="S94" s="2373"/>
      <c r="T94" s="1362"/>
      <c r="U94" s="1362"/>
      <c r="V94" s="1364"/>
      <c r="W94" s="1215"/>
      <c r="X94" s="1186"/>
      <c r="Y94" s="1186"/>
      <c r="Z94" s="1186"/>
      <c r="AA94" s="1186"/>
      <c r="AB94" s="1186"/>
      <c r="AC94" s="1186" t="s">
        <v>238</v>
      </c>
      <c r="AD94" s="1186" t="s">
        <v>239</v>
      </c>
      <c r="AE94" s="1186" t="s">
        <v>240</v>
      </c>
      <c r="AF94" s="1186" t="s">
        <v>241</v>
      </c>
      <c r="AG94" s="1186"/>
      <c r="AH94" s="1186" t="str">
        <f>IF($E$94=0,"",$E$94)</f>
        <v>Тариф на подвоз воды</v>
      </c>
      <c r="AI94" s="1186" t="str">
        <f>IF($G$94=0,"",$G$94)</f>
        <v/>
      </c>
      <c r="AJ94" s="1186" t="str">
        <f>IF($J$94=0,"",$J$94)</f>
        <v/>
      </c>
      <c r="AK94" s="1186" t="str">
        <f>IF($K$94="нет","без дифференциации",IF($N$94=0,"",$N$94))</f>
        <v/>
      </c>
      <c r="AL94" s="1186" t="str">
        <f>IF($O$94="нет","без дифференциации",IF($R$94=0,"",$R$94))</f>
        <v/>
      </c>
      <c r="AM94" s="1186" t="str">
        <f>IF($S$94="нет","без дифференциации",IF($V$94=0,"",$V$94))</f>
        <v/>
      </c>
      <c r="AN94" s="1690">
        <f>$I$94</f>
        <v>0</v>
      </c>
      <c r="AO94" s="1186" t="str">
        <f>$I$94&amp;"."&amp;$M$94</f>
        <v>.</v>
      </c>
      <c r="AP94" s="1178" t="str">
        <f>$I$94&amp;"."&amp;$M$94&amp;"."&amp;$Q$94</f>
        <v>..</v>
      </c>
      <c r="AQ94" s="1178" t="str">
        <f>$I$94&amp;"."&amp;$M$94&amp;"."&amp;$Q$94&amp;"."&amp;$U$94</f>
        <v>...</v>
      </c>
      <c r="AR94" s="1269">
        <v>0</v>
      </c>
    </row>
    <row r="95" spans="1:44" s="2254" customFormat="1" ht="17.25" hidden="1" customHeight="1">
      <c r="A95" s="258"/>
      <c r="C95" s="257"/>
      <c r="D95" s="2371"/>
      <c r="E95" s="2379"/>
      <c r="F95" s="2382"/>
      <c r="G95" s="2379"/>
      <c r="H95" s="2385"/>
      <c r="I95" s="2387"/>
      <c r="J95" s="2389"/>
      <c r="K95" s="2374"/>
      <c r="L95" s="2374"/>
      <c r="M95" s="2374"/>
      <c r="N95" s="2376"/>
      <c r="O95" s="2374"/>
      <c r="P95" s="2374"/>
      <c r="Q95" s="2374"/>
      <c r="R95" s="2377"/>
      <c r="S95" s="2374"/>
      <c r="T95" s="1216"/>
      <c r="U95" s="1216"/>
      <c r="V95" s="1216"/>
      <c r="W95" s="1217"/>
      <c r="X95" s="1178"/>
      <c r="Y95" s="1178"/>
      <c r="Z95" s="1178"/>
      <c r="AA95" s="1178"/>
      <c r="AB95" s="1178"/>
      <c r="AC95" s="1178"/>
      <c r="AD95" s="1178"/>
      <c r="AE95" s="1178"/>
      <c r="AF95" s="1178"/>
      <c r="AG95" s="1178"/>
      <c r="AH95" s="1178"/>
      <c r="AI95" s="1178"/>
      <c r="AJ95" s="1178"/>
      <c r="AK95" s="1178"/>
      <c r="AL95" s="1178"/>
      <c r="AM95" s="1178"/>
      <c r="AN95" s="1178"/>
      <c r="AO95" s="1178"/>
      <c r="AP95" s="1178"/>
      <c r="AQ95" s="1178"/>
      <c r="AR95" s="1269">
        <v>0</v>
      </c>
    </row>
    <row r="96" spans="1:44" s="2254" customFormat="1" ht="17.25" hidden="1" customHeight="1">
      <c r="A96" s="258"/>
      <c r="C96" s="257"/>
      <c r="D96" s="2372"/>
      <c r="E96" s="2380"/>
      <c r="F96" s="2382"/>
      <c r="G96" s="2380"/>
      <c r="H96" s="2385"/>
      <c r="I96" s="2387"/>
      <c r="J96" s="2390"/>
      <c r="K96" s="2374"/>
      <c r="L96" s="2374"/>
      <c r="M96" s="2374"/>
      <c r="N96" s="2377"/>
      <c r="O96" s="2374"/>
      <c r="P96" s="1363"/>
      <c r="Q96" s="1216"/>
      <c r="R96" s="1216"/>
      <c r="S96" s="266"/>
      <c r="T96" s="266"/>
      <c r="U96" s="266"/>
      <c r="V96" s="266"/>
      <c r="W96" s="1217"/>
      <c r="X96" s="1178"/>
      <c r="Y96" s="1178"/>
      <c r="Z96" s="1178"/>
      <c r="AA96" s="1178"/>
      <c r="AB96" s="1178"/>
      <c r="AC96" s="1178"/>
      <c r="AD96" s="1178"/>
      <c r="AE96" s="1178"/>
      <c r="AF96" s="1178"/>
      <c r="AG96" s="1178"/>
      <c r="AH96" s="1178"/>
      <c r="AI96" s="1178"/>
      <c r="AJ96" s="1178"/>
      <c r="AK96" s="1178"/>
      <c r="AL96" s="1178"/>
      <c r="AM96" s="1178"/>
      <c r="AN96" s="1178"/>
      <c r="AO96" s="1178"/>
      <c r="AP96" s="1178"/>
      <c r="AQ96" s="1178"/>
      <c r="AR96" s="1269">
        <v>0</v>
      </c>
    </row>
    <row r="97" spans="1:44" s="2254" customFormat="1" ht="17.25" hidden="1" customHeight="1">
      <c r="A97" s="258"/>
      <c r="C97" s="257"/>
      <c r="D97" s="2372"/>
      <c r="E97" s="2380"/>
      <c r="F97" s="2382"/>
      <c r="G97" s="2380"/>
      <c r="H97" s="2385"/>
      <c r="I97" s="2387"/>
      <c r="J97" s="2390"/>
      <c r="K97" s="2374"/>
      <c r="L97" s="1216"/>
      <c r="M97" s="1216"/>
      <c r="N97" s="1216"/>
      <c r="O97" s="1216"/>
      <c r="P97" s="1216"/>
      <c r="Q97" s="1216"/>
      <c r="R97" s="1216"/>
      <c r="S97" s="266"/>
      <c r="T97" s="266"/>
      <c r="U97" s="266"/>
      <c r="V97" s="266"/>
      <c r="W97" s="1217"/>
      <c r="X97" s="1178"/>
      <c r="Y97" s="1178"/>
      <c r="Z97" s="1178"/>
      <c r="AA97" s="1178"/>
      <c r="AB97" s="1178"/>
      <c r="AC97" s="1178"/>
      <c r="AD97" s="1178"/>
      <c r="AE97" s="1178"/>
      <c r="AF97" s="1178"/>
      <c r="AG97" s="1178"/>
      <c r="AH97" s="1178"/>
      <c r="AI97" s="1178"/>
      <c r="AJ97" s="1178"/>
      <c r="AK97" s="1178"/>
      <c r="AL97" s="1178"/>
      <c r="AM97" s="1178"/>
      <c r="AN97" s="1178"/>
      <c r="AO97" s="1178"/>
      <c r="AP97" s="1178"/>
      <c r="AQ97" s="1178"/>
      <c r="AR97" s="1269">
        <v>0</v>
      </c>
    </row>
    <row r="98" spans="1:44" s="2254" customFormat="1" ht="17.25" hidden="1" customHeight="1">
      <c r="A98" s="258"/>
      <c r="C98" s="257"/>
      <c r="D98" s="2372"/>
      <c r="E98" s="2380"/>
      <c r="F98" s="2383"/>
      <c r="G98" s="2380"/>
      <c r="H98" s="1218"/>
      <c r="I98" s="1219"/>
      <c r="J98" s="1219"/>
      <c r="K98" s="1219"/>
      <c r="L98" s="1219"/>
      <c r="M98" s="1219"/>
      <c r="N98" s="1219"/>
      <c r="O98" s="1219"/>
      <c r="P98" s="1219"/>
      <c r="Q98" s="1219"/>
      <c r="R98" s="1219"/>
      <c r="S98" s="1220"/>
      <c r="T98" s="1220"/>
      <c r="U98" s="1220"/>
      <c r="V98" s="1220"/>
      <c r="W98" s="1221"/>
      <c r="X98" s="1178"/>
      <c r="Y98" s="1178"/>
      <c r="Z98" s="1178"/>
      <c r="AA98" s="1178"/>
      <c r="AB98" s="1178"/>
      <c r="AC98" s="1178"/>
      <c r="AD98" s="1178"/>
      <c r="AE98" s="1178"/>
      <c r="AF98" s="1178"/>
      <c r="AG98" s="1178"/>
      <c r="AH98" s="1178"/>
      <c r="AI98" s="1178"/>
      <c r="AJ98" s="1178"/>
      <c r="AK98" s="1178"/>
      <c r="AL98" s="1178"/>
      <c r="AM98" s="1178"/>
      <c r="AN98" s="1178"/>
      <c r="AO98" s="1178"/>
      <c r="AP98" s="1178"/>
      <c r="AQ98" s="1178"/>
      <c r="AR98" s="1269">
        <v>0</v>
      </c>
    </row>
    <row r="99" spans="1:44" s="2254" customFormat="1" ht="17.25" hidden="1" customHeight="1">
      <c r="A99" s="258"/>
      <c r="C99" s="146"/>
      <c r="D99" s="2371">
        <v>5</v>
      </c>
      <c r="E99" s="2379" t="s">
        <v>242</v>
      </c>
      <c r="F99" s="2381" t="s">
        <v>19</v>
      </c>
      <c r="G99" s="2379"/>
      <c r="H99" s="2384"/>
      <c r="I99" s="2386"/>
      <c r="J99" s="2388"/>
      <c r="K99" s="2373"/>
      <c r="L99" s="2373"/>
      <c r="M99" s="2373"/>
      <c r="N99" s="2375"/>
      <c r="O99" s="2373"/>
      <c r="P99" s="2373"/>
      <c r="Q99" s="2373"/>
      <c r="R99" s="2378"/>
      <c r="S99" s="2373"/>
      <c r="T99" s="1856"/>
      <c r="U99" s="1856"/>
      <c r="V99" s="1858"/>
      <c r="W99" s="1215"/>
      <c r="X99" s="1186"/>
      <c r="Y99" s="1186"/>
      <c r="Z99" s="1186"/>
      <c r="AA99" s="1186"/>
      <c r="AB99" s="1186"/>
      <c r="AC99" s="1186" t="s">
        <v>243</v>
      </c>
      <c r="AD99" s="1186" t="s">
        <v>244</v>
      </c>
      <c r="AE99" s="1186" t="s">
        <v>245</v>
      </c>
      <c r="AF99" s="1186" t="s">
        <v>246</v>
      </c>
      <c r="AG99" s="1186"/>
      <c r="AH99" s="1186" t="str">
        <f>IF($E$99=0,"",$E$99)</f>
        <v>Тариф на подключение (технологическое присоединение) к централизованной системе холодного водоснабжения</v>
      </c>
      <c r="AI99" s="1186" t="str">
        <f>IF($G$99=0,"",$G$99)</f>
        <v/>
      </c>
      <c r="AJ99" s="1186" t="str">
        <f>IF($J$99=0,"",$J$99)</f>
        <v/>
      </c>
      <c r="AK99" s="1186" t="str">
        <f>IF($K$99="нет","без дифференциации",IF($N$99=0,"",$N$99))</f>
        <v/>
      </c>
      <c r="AL99" s="1186" t="str">
        <f>IF($O$99="нет","без дифференциации",IF($R$99=0,"",$R$99))</f>
        <v/>
      </c>
      <c r="AM99" s="1186" t="str">
        <f>IF($S$99="нет","без дифференциации",IF($V$99=0,"",$V$99))</f>
        <v/>
      </c>
      <c r="AN99" s="1690">
        <f>$I$99</f>
        <v>0</v>
      </c>
      <c r="AO99" s="1186" t="str">
        <f>$I$99&amp;"."&amp;$M$99</f>
        <v>.</v>
      </c>
      <c r="AP99" s="1185" t="str">
        <f>$I$99&amp;"."&amp;$M$99&amp;"."&amp;$Q$99</f>
        <v>..</v>
      </c>
      <c r="AQ99" s="1185" t="str">
        <f>$I$99&amp;"."&amp;$M$99&amp;"."&amp;$Q$99&amp;"."&amp;$U$99</f>
        <v>...</v>
      </c>
      <c r="AR99" s="1386">
        <v>0</v>
      </c>
    </row>
    <row r="100" spans="1:44" s="2254" customFormat="1" ht="17.25" hidden="1" customHeight="1">
      <c r="A100" s="258"/>
      <c r="C100" s="257"/>
      <c r="D100" s="2371"/>
      <c r="E100" s="2379"/>
      <c r="F100" s="2382"/>
      <c r="G100" s="2379"/>
      <c r="H100" s="2385"/>
      <c r="I100" s="2387"/>
      <c r="J100" s="2389"/>
      <c r="K100" s="2374"/>
      <c r="L100" s="2374"/>
      <c r="M100" s="2374"/>
      <c r="N100" s="2376"/>
      <c r="O100" s="2374"/>
      <c r="P100" s="2374"/>
      <c r="Q100" s="2374"/>
      <c r="R100" s="2377"/>
      <c r="S100" s="2374"/>
      <c r="T100" s="1861"/>
      <c r="U100" s="1861"/>
      <c r="V100" s="1861"/>
      <c r="W100" s="1862"/>
      <c r="X100" s="1185"/>
      <c r="Y100" s="1185"/>
      <c r="Z100" s="1185"/>
      <c r="AA100" s="1185"/>
      <c r="AB100" s="1185"/>
      <c r="AC100" s="1185"/>
      <c r="AD100" s="1185"/>
      <c r="AE100" s="1185"/>
      <c r="AF100" s="1185"/>
      <c r="AG100" s="1185"/>
      <c r="AH100" s="1185"/>
      <c r="AI100" s="1185"/>
      <c r="AJ100" s="1185"/>
      <c r="AK100" s="1185"/>
      <c r="AL100" s="1185"/>
      <c r="AM100" s="1185"/>
      <c r="AN100" s="1185"/>
      <c r="AO100" s="1185"/>
      <c r="AP100" s="1185"/>
      <c r="AQ100" s="1185"/>
      <c r="AR100" s="1386">
        <v>0</v>
      </c>
    </row>
    <row r="101" spans="1:44" s="2254" customFormat="1" ht="17.25" hidden="1" customHeight="1">
      <c r="A101" s="258"/>
      <c r="C101" s="257"/>
      <c r="D101" s="2372"/>
      <c r="E101" s="2380"/>
      <c r="F101" s="2382"/>
      <c r="G101" s="2380"/>
      <c r="H101" s="2385"/>
      <c r="I101" s="2387"/>
      <c r="J101" s="2390"/>
      <c r="K101" s="2374"/>
      <c r="L101" s="2374"/>
      <c r="M101" s="2374"/>
      <c r="N101" s="2377"/>
      <c r="O101" s="2374"/>
      <c r="P101" s="1857"/>
      <c r="Q101" s="1861"/>
      <c r="R101" s="1861"/>
      <c r="S101" s="266"/>
      <c r="T101" s="266"/>
      <c r="U101" s="266"/>
      <c r="V101" s="266"/>
      <c r="W101" s="1862"/>
      <c r="X101" s="1185"/>
      <c r="Y101" s="1185"/>
      <c r="Z101" s="1185"/>
      <c r="AA101" s="1185"/>
      <c r="AB101" s="1185"/>
      <c r="AC101" s="1185"/>
      <c r="AD101" s="1185"/>
      <c r="AE101" s="1185"/>
      <c r="AF101" s="1185"/>
      <c r="AG101" s="1185"/>
      <c r="AH101" s="1185"/>
      <c r="AI101" s="1185"/>
      <c r="AJ101" s="1185"/>
      <c r="AK101" s="1185"/>
      <c r="AL101" s="1185"/>
      <c r="AM101" s="1185"/>
      <c r="AN101" s="1185"/>
      <c r="AO101" s="1185"/>
      <c r="AP101" s="1185"/>
      <c r="AQ101" s="1185"/>
      <c r="AR101" s="1386">
        <v>0</v>
      </c>
    </row>
    <row r="102" spans="1:44" s="2254" customFormat="1" ht="17.25" hidden="1" customHeight="1">
      <c r="A102" s="258"/>
      <c r="C102" s="257"/>
      <c r="D102" s="2372"/>
      <c r="E102" s="2380"/>
      <c r="F102" s="2382"/>
      <c r="G102" s="2380"/>
      <c r="H102" s="2385"/>
      <c r="I102" s="2387"/>
      <c r="J102" s="2390"/>
      <c r="K102" s="2374"/>
      <c r="L102" s="1861"/>
      <c r="M102" s="1861"/>
      <c r="N102" s="1861"/>
      <c r="O102" s="1861"/>
      <c r="P102" s="1861"/>
      <c r="Q102" s="1861"/>
      <c r="R102" s="1861"/>
      <c r="S102" s="266"/>
      <c r="T102" s="266"/>
      <c r="U102" s="266"/>
      <c r="V102" s="266"/>
      <c r="W102" s="1862"/>
      <c r="X102" s="1185"/>
      <c r="Y102" s="1185"/>
      <c r="Z102" s="1185"/>
      <c r="AA102" s="1185"/>
      <c r="AB102" s="1185"/>
      <c r="AC102" s="1185"/>
      <c r="AD102" s="1185"/>
      <c r="AE102" s="1185"/>
      <c r="AF102" s="1185"/>
      <c r="AG102" s="1185"/>
      <c r="AH102" s="1185"/>
      <c r="AI102" s="1185"/>
      <c r="AJ102" s="1185"/>
      <c r="AK102" s="1185"/>
      <c r="AL102" s="1185"/>
      <c r="AM102" s="1185"/>
      <c r="AN102" s="1185"/>
      <c r="AO102" s="1185"/>
      <c r="AP102" s="1185"/>
      <c r="AQ102" s="1185"/>
      <c r="AR102" s="1386">
        <v>0</v>
      </c>
    </row>
    <row r="103" spans="1:44" s="2254" customFormat="1" ht="17.25" hidden="1" customHeight="1">
      <c r="A103" s="258"/>
      <c r="C103" s="257"/>
      <c r="D103" s="2372"/>
      <c r="E103" s="2380"/>
      <c r="F103" s="2383"/>
      <c r="G103" s="2380"/>
      <c r="H103" s="1218"/>
      <c r="I103" s="1859"/>
      <c r="J103" s="1859"/>
      <c r="K103" s="1859"/>
      <c r="L103" s="1859"/>
      <c r="M103" s="1859"/>
      <c r="N103" s="1859"/>
      <c r="O103" s="1859"/>
      <c r="P103" s="1859"/>
      <c r="Q103" s="1859"/>
      <c r="R103" s="1859"/>
      <c r="S103" s="1220"/>
      <c r="T103" s="1220"/>
      <c r="U103" s="1220"/>
      <c r="V103" s="1220"/>
      <c r="W103" s="1860"/>
      <c r="X103" s="1185"/>
      <c r="Y103" s="1185"/>
      <c r="Z103" s="1185"/>
      <c r="AA103" s="1185"/>
      <c r="AB103" s="1185"/>
      <c r="AC103" s="1185"/>
      <c r="AD103" s="1185"/>
      <c r="AE103" s="1185"/>
      <c r="AF103" s="1185"/>
      <c r="AG103" s="1185"/>
      <c r="AH103" s="1185"/>
      <c r="AI103" s="1185"/>
      <c r="AJ103" s="1185"/>
      <c r="AK103" s="1185"/>
      <c r="AL103" s="1185"/>
      <c r="AM103" s="1185"/>
      <c r="AN103" s="1185"/>
      <c r="AO103" s="1185"/>
      <c r="AP103" s="1185"/>
      <c r="AQ103" s="1185"/>
      <c r="AR103" s="1386">
        <v>0</v>
      </c>
    </row>
    <row r="104" spans="1:44" s="2254" customFormat="1" ht="11.25" hidden="1" customHeight="1">
      <c r="A104" s="214"/>
      <c r="B104" s="214"/>
      <c r="Y104" s="1178"/>
      <c r="Z104" s="1178"/>
      <c r="AA104" s="1178"/>
      <c r="AB104" s="1178"/>
      <c r="AC104" s="1178"/>
      <c r="AD104" s="1178"/>
      <c r="AE104" s="1178"/>
      <c r="AF104" s="1178"/>
      <c r="AG104" s="1178"/>
      <c r="AH104" s="1178"/>
      <c r="AI104" s="1178"/>
      <c r="AJ104" s="1178"/>
      <c r="AK104" s="1178"/>
      <c r="AL104" s="1178"/>
      <c r="AM104" s="1178"/>
      <c r="AN104" s="1178"/>
      <c r="AO104" s="1178"/>
      <c r="AP104" s="1178"/>
      <c r="AQ104" s="1178"/>
      <c r="AR104" s="1386">
        <v>0</v>
      </c>
    </row>
    <row r="105" spans="1:44" s="2254" customFormat="1" ht="17.25" hidden="1" customHeight="1">
      <c r="A105" s="258"/>
      <c r="C105" s="146"/>
      <c r="D105" s="2371">
        <v>1</v>
      </c>
      <c r="E105" s="2379" t="s">
        <v>247</v>
      </c>
      <c r="F105" s="2381" t="s">
        <v>19</v>
      </c>
      <c r="G105" s="2379"/>
      <c r="H105" s="2384"/>
      <c r="I105" s="2386"/>
      <c r="J105" s="2388"/>
      <c r="K105" s="2373"/>
      <c r="L105" s="2373"/>
      <c r="M105" s="2373"/>
      <c r="N105" s="2375"/>
      <c r="O105" s="2373"/>
      <c r="P105" s="2373"/>
      <c r="Q105" s="2373"/>
      <c r="R105" s="2378"/>
      <c r="S105" s="2373"/>
      <c r="T105" s="1389"/>
      <c r="U105" s="1389"/>
      <c r="V105" s="1391"/>
      <c r="W105" s="1215"/>
      <c r="Y105" s="1186"/>
      <c r="Z105" s="1186"/>
      <c r="AA105" s="1186"/>
      <c r="AB105" s="1186"/>
      <c r="AC105" s="1186" t="s">
        <v>248</v>
      </c>
      <c r="AD105" s="1186" t="s">
        <v>249</v>
      </c>
      <c r="AE105" s="1186" t="s">
        <v>250</v>
      </c>
      <c r="AF105" s="1186" t="s">
        <v>251</v>
      </c>
      <c r="AG105" s="1186"/>
      <c r="AH105" s="1186" t="str">
        <f>IF($E$105=0,"",$E$105)</f>
        <v>Тариф на горячую воду (горячее водоснабжение)</v>
      </c>
      <c r="AI105" s="1186" t="str">
        <f>IF($G$105=0,"",$G$105)</f>
        <v/>
      </c>
      <c r="AJ105" s="1186" t="str">
        <f>IF($J$105=0,"",$J$105)</f>
        <v/>
      </c>
      <c r="AK105" s="1186" t="str">
        <f>IF($K$105="нет","без дифференциации",IF($N$105=0,"",$N$105))</f>
        <v/>
      </c>
      <c r="AL105" s="1186" t="str">
        <f>IF($O$105="нет","без дифференциации",IF($R$105=0,"",$R$105))</f>
        <v/>
      </c>
      <c r="AM105" s="1186" t="str">
        <f>IF($S$105="нет","без дифференциации",IF($V$105=0,"",$V$105))</f>
        <v/>
      </c>
      <c r="AN105" s="1186">
        <f>$I$105</f>
        <v>0</v>
      </c>
      <c r="AO105" s="1186" t="str">
        <f>$I$105&amp;"."&amp;$M$105</f>
        <v>.</v>
      </c>
      <c r="AP105" s="1186" t="str">
        <f>$I$105&amp;"."&amp;$M$105&amp;"."&amp;$Q$105</f>
        <v>..</v>
      </c>
      <c r="AQ105" s="1186" t="str">
        <f>$I$105&amp;"."&amp;$M$105&amp;"."&amp;$Q$105&amp;"."&amp;$U$105</f>
        <v>...</v>
      </c>
      <c r="AR105" s="1386">
        <v>0</v>
      </c>
    </row>
    <row r="106" spans="1:44" s="2254" customFormat="1" ht="17.25" hidden="1" customHeight="1">
      <c r="A106" s="258"/>
      <c r="C106" s="257"/>
      <c r="D106" s="2371"/>
      <c r="E106" s="2379"/>
      <c r="F106" s="2382"/>
      <c r="G106" s="2379"/>
      <c r="H106" s="2385"/>
      <c r="I106" s="2387"/>
      <c r="J106" s="2389"/>
      <c r="K106" s="2374"/>
      <c r="L106" s="2374"/>
      <c r="M106" s="2374"/>
      <c r="N106" s="2376"/>
      <c r="O106" s="2374"/>
      <c r="P106" s="2374"/>
      <c r="Q106" s="2374"/>
      <c r="R106" s="2377"/>
      <c r="S106" s="2374"/>
      <c r="T106" s="1216"/>
      <c r="U106" s="1216"/>
      <c r="V106" s="1216"/>
      <c r="W106" s="1217"/>
      <c r="Y106" s="1178"/>
      <c r="Z106" s="1178"/>
      <c r="AA106" s="1178"/>
      <c r="AB106" s="1178"/>
      <c r="AC106" s="1178"/>
      <c r="AD106" s="1178"/>
      <c r="AE106" s="1178"/>
      <c r="AF106" s="1178"/>
      <c r="AG106" s="1178"/>
      <c r="AH106" s="1178"/>
      <c r="AI106" s="1178"/>
      <c r="AJ106" s="1178"/>
      <c r="AK106" s="1178"/>
      <c r="AL106" s="1178"/>
      <c r="AM106" s="1178"/>
      <c r="AN106" s="1178"/>
      <c r="AO106" s="1178"/>
      <c r="AP106" s="1178"/>
      <c r="AQ106" s="1178"/>
      <c r="AR106" s="1386">
        <v>0</v>
      </c>
    </row>
    <row r="107" spans="1:44" s="2254" customFormat="1" ht="17.25" hidden="1" customHeight="1">
      <c r="A107" s="258"/>
      <c r="C107" s="146"/>
      <c r="D107" s="2371"/>
      <c r="E107" s="2379"/>
      <c r="F107" s="2382"/>
      <c r="G107" s="2379"/>
      <c r="H107" s="2385"/>
      <c r="I107" s="2387"/>
      <c r="J107" s="2390"/>
      <c r="K107" s="2374"/>
      <c r="L107" s="2374"/>
      <c r="M107" s="2374"/>
      <c r="N107" s="2377"/>
      <c r="O107" s="2374"/>
      <c r="P107" s="1390"/>
      <c r="Q107" s="1216"/>
      <c r="R107" s="1216"/>
      <c r="S107" s="266"/>
      <c r="T107" s="266"/>
      <c r="U107" s="266"/>
      <c r="V107" s="266"/>
      <c r="W107" s="1217"/>
      <c r="Y107" s="1186"/>
      <c r="Z107" s="1186"/>
      <c r="AA107" s="1186"/>
      <c r="AB107" s="1186"/>
      <c r="AC107" s="1186"/>
      <c r="AD107" s="1186"/>
      <c r="AE107" s="1186"/>
      <c r="AF107" s="1186"/>
      <c r="AG107" s="1186"/>
      <c r="AH107" s="1186"/>
      <c r="AI107" s="1186"/>
      <c r="AJ107" s="1186"/>
      <c r="AK107" s="1186"/>
      <c r="AL107" s="1186"/>
      <c r="AM107" s="1186"/>
      <c r="AN107" s="1186"/>
      <c r="AO107" s="1186"/>
      <c r="AP107" s="1186"/>
      <c r="AQ107" s="1186"/>
      <c r="AR107" s="1386">
        <v>0</v>
      </c>
    </row>
    <row r="108" spans="1:44" s="2254" customFormat="1" ht="17.25" hidden="1" customHeight="1">
      <c r="A108" s="258"/>
      <c r="C108" s="257"/>
      <c r="D108" s="2371"/>
      <c r="E108" s="2379"/>
      <c r="F108" s="2382"/>
      <c r="G108" s="2379"/>
      <c r="H108" s="2385"/>
      <c r="I108" s="2387"/>
      <c r="J108" s="2390"/>
      <c r="K108" s="2374"/>
      <c r="L108" s="1216"/>
      <c r="M108" s="1216"/>
      <c r="N108" s="1216"/>
      <c r="O108" s="1216"/>
      <c r="P108" s="1216"/>
      <c r="Q108" s="1216"/>
      <c r="R108" s="1216"/>
      <c r="S108" s="266"/>
      <c r="T108" s="266"/>
      <c r="U108" s="266"/>
      <c r="V108" s="266"/>
      <c r="W108" s="1217"/>
      <c r="Y108" s="1178"/>
      <c r="Z108" s="1178"/>
      <c r="AA108" s="1178"/>
      <c r="AB108" s="1178"/>
      <c r="AC108" s="1178"/>
      <c r="AD108" s="1178"/>
      <c r="AE108" s="1178"/>
      <c r="AF108" s="1178"/>
      <c r="AG108" s="1178"/>
      <c r="AH108" s="1178"/>
      <c r="AI108" s="1178"/>
      <c r="AJ108" s="1178"/>
      <c r="AK108" s="1178"/>
      <c r="AL108" s="1178"/>
      <c r="AM108" s="1178"/>
      <c r="AN108" s="1178"/>
      <c r="AO108" s="1178"/>
      <c r="AP108" s="1178"/>
      <c r="AQ108" s="1178"/>
      <c r="AR108" s="1386">
        <v>0</v>
      </c>
    </row>
    <row r="109" spans="1:44" s="2254" customFormat="1" ht="17.25" hidden="1" customHeight="1">
      <c r="A109" s="258"/>
      <c r="C109" s="257"/>
      <c r="D109" s="2372"/>
      <c r="E109" s="2380"/>
      <c r="F109" s="2383"/>
      <c r="G109" s="2380"/>
      <c r="H109" s="1218"/>
      <c r="I109" s="1219"/>
      <c r="J109" s="1219"/>
      <c r="K109" s="1219"/>
      <c r="L109" s="1219"/>
      <c r="M109" s="1219"/>
      <c r="N109" s="1219"/>
      <c r="O109" s="1219"/>
      <c r="P109" s="1219"/>
      <c r="Q109" s="1219"/>
      <c r="R109" s="1219"/>
      <c r="S109" s="1220"/>
      <c r="T109" s="1220"/>
      <c r="U109" s="1220"/>
      <c r="V109" s="1220"/>
      <c r="W109" s="1221"/>
      <c r="Y109" s="1178"/>
      <c r="Z109" s="1178"/>
      <c r="AA109" s="1178"/>
      <c r="AB109" s="1178"/>
      <c r="AC109" s="1178"/>
      <c r="AD109" s="1178"/>
      <c r="AE109" s="1178"/>
      <c r="AF109" s="1178"/>
      <c r="AG109" s="1178"/>
      <c r="AH109" s="1178"/>
      <c r="AI109" s="1178"/>
      <c r="AJ109" s="1178"/>
      <c r="AK109" s="1178"/>
      <c r="AL109" s="1178"/>
      <c r="AM109" s="1178"/>
      <c r="AN109" s="1178"/>
      <c r="AO109" s="1178"/>
      <c r="AP109" s="1178"/>
      <c r="AQ109" s="1178"/>
      <c r="AR109" s="1386">
        <v>0</v>
      </c>
    </row>
    <row r="110" spans="1:44" s="2254" customFormat="1" ht="17.25" hidden="1" customHeight="1">
      <c r="A110" s="258"/>
      <c r="C110" s="146"/>
      <c r="D110" s="2371">
        <v>2</v>
      </c>
      <c r="E110" s="2379" t="s">
        <v>252</v>
      </c>
      <c r="F110" s="2381" t="s">
        <v>19</v>
      </c>
      <c r="G110" s="2379"/>
      <c r="H110" s="2384"/>
      <c r="I110" s="2386"/>
      <c r="J110" s="2388"/>
      <c r="K110" s="2373"/>
      <c r="L110" s="2373"/>
      <c r="M110" s="2373"/>
      <c r="N110" s="2375"/>
      <c r="O110" s="2373"/>
      <c r="P110" s="2373"/>
      <c r="Q110" s="2373"/>
      <c r="R110" s="2378"/>
      <c r="S110" s="2373"/>
      <c r="T110" s="1389"/>
      <c r="U110" s="1389"/>
      <c r="V110" s="1391"/>
      <c r="W110" s="1215"/>
      <c r="X110" s="1186"/>
      <c r="Y110" s="1186"/>
      <c r="Z110" s="1186"/>
      <c r="AA110" s="1186"/>
      <c r="AB110" s="1186"/>
      <c r="AC110" s="1186" t="s">
        <v>253</v>
      </c>
      <c r="AD110" s="1186" t="s">
        <v>254</v>
      </c>
      <c r="AE110" s="1186" t="s">
        <v>255</v>
      </c>
      <c r="AF110" s="1186" t="s">
        <v>256</v>
      </c>
      <c r="AG110" s="1186"/>
      <c r="AH110" s="1186" t="str">
        <f>IF($E$110=0,"",$E$110)</f>
        <v>Тариф на транспортировку горячей воды</v>
      </c>
      <c r="AI110" s="1186" t="str">
        <f>IF($G$110=0,"",$G$110)</f>
        <v/>
      </c>
      <c r="AJ110" s="1186" t="str">
        <f>IF($J$110=0,"",$J$110)</f>
        <v/>
      </c>
      <c r="AK110" s="1186" t="str">
        <f>IF($K$110="нет","без дифференциации",IF($N$110=0,"",$N$110))</f>
        <v/>
      </c>
      <c r="AL110" s="1186" t="str">
        <f>IF($O$110="нет","без дифференциации",IF($R$110=0,"",$R$110))</f>
        <v/>
      </c>
      <c r="AM110" s="1186" t="str">
        <f>IF($S$110="нет","без дифференциации",IF($V$110=0,"",$V$110))</f>
        <v/>
      </c>
      <c r="AN110" s="1690">
        <f>$I$110</f>
        <v>0</v>
      </c>
      <c r="AO110" s="1186" t="str">
        <f>$I$110&amp;"."&amp;$M$110</f>
        <v>.</v>
      </c>
      <c r="AP110" s="1178" t="str">
        <f>$I$110&amp;"."&amp;$M$110&amp;"."&amp;$Q$110</f>
        <v>..</v>
      </c>
      <c r="AQ110" s="1178" t="str">
        <f>$I$110&amp;"."&amp;$M$110&amp;"."&amp;$Q$110&amp;"."&amp;$U$110</f>
        <v>...</v>
      </c>
      <c r="AR110" s="1386">
        <v>0</v>
      </c>
    </row>
    <row r="111" spans="1:44" s="2254" customFormat="1" ht="17.25" hidden="1" customHeight="1">
      <c r="A111" s="258"/>
      <c r="C111" s="257"/>
      <c r="D111" s="2371"/>
      <c r="E111" s="2379"/>
      <c r="F111" s="2382"/>
      <c r="G111" s="2379"/>
      <c r="H111" s="2385"/>
      <c r="I111" s="2387"/>
      <c r="J111" s="2389"/>
      <c r="K111" s="2374"/>
      <c r="L111" s="2374"/>
      <c r="M111" s="2374"/>
      <c r="N111" s="2376"/>
      <c r="O111" s="2374"/>
      <c r="P111" s="2374"/>
      <c r="Q111" s="2374"/>
      <c r="R111" s="2377"/>
      <c r="S111" s="2374"/>
      <c r="T111" s="1216"/>
      <c r="U111" s="1216"/>
      <c r="V111" s="1216"/>
      <c r="W111" s="1217"/>
      <c r="X111" s="1178"/>
      <c r="Y111" s="1178"/>
      <c r="Z111" s="1178"/>
      <c r="AA111" s="1178"/>
      <c r="AB111" s="1178"/>
      <c r="AC111" s="1178"/>
      <c r="AD111" s="1178"/>
      <c r="AE111" s="1178"/>
      <c r="AF111" s="1178"/>
      <c r="AG111" s="1178"/>
      <c r="AH111" s="1178"/>
      <c r="AI111" s="1178"/>
      <c r="AJ111" s="1178"/>
      <c r="AK111" s="1178"/>
      <c r="AL111" s="1178"/>
      <c r="AM111" s="1178"/>
      <c r="AN111" s="1178"/>
      <c r="AO111" s="1178"/>
      <c r="AP111" s="1178"/>
      <c r="AQ111" s="1178"/>
      <c r="AR111" s="1386">
        <v>0</v>
      </c>
    </row>
    <row r="112" spans="1:44" s="2254" customFormat="1" ht="17.25" hidden="1" customHeight="1">
      <c r="A112" s="258"/>
      <c r="C112" s="257"/>
      <c r="D112" s="2372"/>
      <c r="E112" s="2380"/>
      <c r="F112" s="2382"/>
      <c r="G112" s="2380"/>
      <c r="H112" s="2385"/>
      <c r="I112" s="2387"/>
      <c r="J112" s="2390"/>
      <c r="K112" s="2374"/>
      <c r="L112" s="2374"/>
      <c r="M112" s="2374"/>
      <c r="N112" s="2377"/>
      <c r="O112" s="2374"/>
      <c r="P112" s="1390"/>
      <c r="Q112" s="1216"/>
      <c r="R112" s="1216"/>
      <c r="S112" s="266"/>
      <c r="T112" s="266"/>
      <c r="U112" s="266"/>
      <c r="V112" s="266"/>
      <c r="W112" s="1217"/>
      <c r="X112" s="1178"/>
      <c r="Y112" s="1178"/>
      <c r="Z112" s="1178"/>
      <c r="AA112" s="1178"/>
      <c r="AB112" s="1178"/>
      <c r="AC112" s="1178"/>
      <c r="AD112" s="1178"/>
      <c r="AE112" s="1178"/>
      <c r="AF112" s="1178"/>
      <c r="AG112" s="1178"/>
      <c r="AH112" s="1178"/>
      <c r="AI112" s="1178"/>
      <c r="AJ112" s="1178"/>
      <c r="AK112" s="1178"/>
      <c r="AL112" s="1178"/>
      <c r="AM112" s="1178"/>
      <c r="AN112" s="1178"/>
      <c r="AO112" s="1178"/>
      <c r="AP112" s="1178"/>
      <c r="AQ112" s="1178"/>
      <c r="AR112" s="1386">
        <v>0</v>
      </c>
    </row>
    <row r="113" spans="1:44" s="2254" customFormat="1" ht="17.25" hidden="1" customHeight="1">
      <c r="A113" s="258"/>
      <c r="C113" s="257"/>
      <c r="D113" s="2372"/>
      <c r="E113" s="2380"/>
      <c r="F113" s="2382"/>
      <c r="G113" s="2380"/>
      <c r="H113" s="2385"/>
      <c r="I113" s="2387"/>
      <c r="J113" s="2390"/>
      <c r="K113" s="2374"/>
      <c r="L113" s="1216"/>
      <c r="M113" s="1216"/>
      <c r="N113" s="1216"/>
      <c r="O113" s="1216"/>
      <c r="P113" s="1216"/>
      <c r="Q113" s="1216"/>
      <c r="R113" s="1216"/>
      <c r="S113" s="266"/>
      <c r="T113" s="266"/>
      <c r="U113" s="266"/>
      <c r="V113" s="266"/>
      <c r="W113" s="1217"/>
      <c r="X113" s="1178"/>
      <c r="Y113" s="1178"/>
      <c r="Z113" s="1178"/>
      <c r="AA113" s="1178"/>
      <c r="AB113" s="1178"/>
      <c r="AC113" s="1178"/>
      <c r="AD113" s="1178"/>
      <c r="AE113" s="1178"/>
      <c r="AF113" s="1178"/>
      <c r="AG113" s="1178"/>
      <c r="AH113" s="1178"/>
      <c r="AI113" s="1178"/>
      <c r="AJ113" s="1178"/>
      <c r="AK113" s="1178"/>
      <c r="AL113" s="1178"/>
      <c r="AM113" s="1178"/>
      <c r="AN113" s="1178"/>
      <c r="AO113" s="1178"/>
      <c r="AP113" s="1178"/>
      <c r="AQ113" s="1178"/>
      <c r="AR113" s="1386">
        <v>0</v>
      </c>
    </row>
    <row r="114" spans="1:44" s="2254" customFormat="1" ht="17.25" hidden="1" customHeight="1">
      <c r="A114" s="258"/>
      <c r="C114" s="257"/>
      <c r="D114" s="2372"/>
      <c r="E114" s="2380"/>
      <c r="F114" s="2383"/>
      <c r="G114" s="2380"/>
      <c r="H114" s="1218"/>
      <c r="I114" s="1219"/>
      <c r="J114" s="1219"/>
      <c r="K114" s="1219"/>
      <c r="L114" s="1219"/>
      <c r="M114" s="1219"/>
      <c r="N114" s="1219"/>
      <c r="O114" s="1219"/>
      <c r="P114" s="1219"/>
      <c r="Q114" s="1219"/>
      <c r="R114" s="1219"/>
      <c r="S114" s="1220"/>
      <c r="T114" s="1220"/>
      <c r="U114" s="1220"/>
      <c r="V114" s="1220"/>
      <c r="W114" s="1221"/>
      <c r="X114" s="1178"/>
      <c r="Y114" s="1178"/>
      <c r="Z114" s="1178"/>
      <c r="AA114" s="1178"/>
      <c r="AB114" s="1178"/>
      <c r="AC114" s="1178"/>
      <c r="AD114" s="1178"/>
      <c r="AE114" s="1178"/>
      <c r="AF114" s="1178"/>
      <c r="AG114" s="1178"/>
      <c r="AH114" s="1178"/>
      <c r="AI114" s="1178"/>
      <c r="AJ114" s="1178"/>
      <c r="AK114" s="1178"/>
      <c r="AL114" s="1178"/>
      <c r="AM114" s="1178"/>
      <c r="AN114" s="1178"/>
      <c r="AO114" s="1178"/>
      <c r="AP114" s="1178"/>
      <c r="AQ114" s="1178"/>
      <c r="AR114" s="1386">
        <v>0</v>
      </c>
    </row>
    <row r="115" spans="1:44" s="2254" customFormat="1" ht="17.25" hidden="1" customHeight="1">
      <c r="A115" s="258"/>
      <c r="C115" s="146"/>
      <c r="D115" s="2371">
        <v>3</v>
      </c>
      <c r="E115" s="2379" t="s">
        <v>257</v>
      </c>
      <c r="F115" s="2381" t="s">
        <v>19</v>
      </c>
      <c r="G115" s="2379"/>
      <c r="H115" s="2384"/>
      <c r="I115" s="2386"/>
      <c r="J115" s="2388"/>
      <c r="K115" s="2373"/>
      <c r="L115" s="2373"/>
      <c r="M115" s="2373"/>
      <c r="N115" s="2375"/>
      <c r="O115" s="2373"/>
      <c r="P115" s="2373"/>
      <c r="Q115" s="2373"/>
      <c r="R115" s="2378"/>
      <c r="S115" s="2373"/>
      <c r="T115" s="1856"/>
      <c r="U115" s="1856"/>
      <c r="V115" s="1858"/>
      <c r="W115" s="1215"/>
      <c r="X115" s="1186"/>
      <c r="Y115" s="1186"/>
      <c r="Z115" s="1186"/>
      <c r="AA115" s="1186"/>
      <c r="AB115" s="1186"/>
      <c r="AC115" s="1186" t="s">
        <v>258</v>
      </c>
      <c r="AD115" s="1186" t="s">
        <v>259</v>
      </c>
      <c r="AE115" s="1186" t="s">
        <v>260</v>
      </c>
      <c r="AF115" s="1186" t="s">
        <v>261</v>
      </c>
      <c r="AG115" s="1186"/>
      <c r="AH115" s="1186" t="str">
        <f>IF($E$115=0,"",$E$115)</f>
        <v>Тариф на подключение (технологическое присоединение) к централизованной системе горячего водоснабжения</v>
      </c>
      <c r="AI115" s="1186" t="str">
        <f>IF($G$115=0,"",$G$115)</f>
        <v/>
      </c>
      <c r="AJ115" s="1186" t="str">
        <f>IF($J$115=0,"",$J$115)</f>
        <v/>
      </c>
      <c r="AK115" s="1186" t="str">
        <f>IF($K$115="нет","без дифференциации",IF($N$115=0,"",$N$115))</f>
        <v/>
      </c>
      <c r="AL115" s="1186" t="str">
        <f>IF($O$115="нет","без дифференциации",IF($R$115=0,"",$R$115))</f>
        <v/>
      </c>
      <c r="AM115" s="1186" t="str">
        <f>IF($S$115="нет","без дифференциации",IF($V$115=0,"",$V$115))</f>
        <v/>
      </c>
      <c r="AN115" s="1690">
        <f>$I$115</f>
        <v>0</v>
      </c>
      <c r="AO115" s="1186" t="str">
        <f>$I$115&amp;"."&amp;$M$115</f>
        <v>.</v>
      </c>
      <c r="AP115" s="1185" t="str">
        <f>$I$115&amp;"."&amp;$M$115&amp;"."&amp;$Q$115</f>
        <v>..</v>
      </c>
      <c r="AQ115" s="1185" t="str">
        <f>$I$115&amp;"."&amp;$M$115&amp;"."&amp;$Q$115&amp;"."&amp;$U$115</f>
        <v>...</v>
      </c>
      <c r="AR115" s="1386">
        <v>0</v>
      </c>
    </row>
    <row r="116" spans="1:44" s="2254" customFormat="1" ht="17.25" hidden="1" customHeight="1">
      <c r="A116" s="258"/>
      <c r="C116" s="257"/>
      <c r="D116" s="2371"/>
      <c r="E116" s="2379"/>
      <c r="F116" s="2382"/>
      <c r="G116" s="2379"/>
      <c r="H116" s="2385"/>
      <c r="I116" s="2387"/>
      <c r="J116" s="2389"/>
      <c r="K116" s="2374"/>
      <c r="L116" s="2374"/>
      <c r="M116" s="2374"/>
      <c r="N116" s="2376"/>
      <c r="O116" s="2374"/>
      <c r="P116" s="2374"/>
      <c r="Q116" s="2374"/>
      <c r="R116" s="2377"/>
      <c r="S116" s="2374"/>
      <c r="T116" s="1861"/>
      <c r="U116" s="1861"/>
      <c r="V116" s="1861"/>
      <c r="W116" s="1862"/>
      <c r="X116" s="1185"/>
      <c r="Y116" s="1185"/>
      <c r="Z116" s="1185"/>
      <c r="AA116" s="1185"/>
      <c r="AB116" s="1185"/>
      <c r="AC116" s="1185"/>
      <c r="AD116" s="1185"/>
      <c r="AE116" s="1185"/>
      <c r="AF116" s="1185"/>
      <c r="AG116" s="1185"/>
      <c r="AH116" s="1185"/>
      <c r="AI116" s="1185"/>
      <c r="AJ116" s="1185"/>
      <c r="AK116" s="1185"/>
      <c r="AL116" s="1185"/>
      <c r="AM116" s="1185"/>
      <c r="AN116" s="1185"/>
      <c r="AO116" s="1185"/>
      <c r="AP116" s="1185"/>
      <c r="AQ116" s="1185"/>
      <c r="AR116" s="1386">
        <v>0</v>
      </c>
    </row>
    <row r="117" spans="1:44" s="2254" customFormat="1" ht="17.25" hidden="1" customHeight="1">
      <c r="A117" s="258"/>
      <c r="C117" s="257"/>
      <c r="D117" s="2372"/>
      <c r="E117" s="2380"/>
      <c r="F117" s="2382"/>
      <c r="G117" s="2380"/>
      <c r="H117" s="2385"/>
      <c r="I117" s="2387"/>
      <c r="J117" s="2390"/>
      <c r="K117" s="2374"/>
      <c r="L117" s="2374"/>
      <c r="M117" s="2374"/>
      <c r="N117" s="2377"/>
      <c r="O117" s="2374"/>
      <c r="P117" s="1857"/>
      <c r="Q117" s="1861"/>
      <c r="R117" s="1861"/>
      <c r="S117" s="266"/>
      <c r="T117" s="266"/>
      <c r="U117" s="266"/>
      <c r="V117" s="266"/>
      <c r="W117" s="1862"/>
      <c r="X117" s="1185"/>
      <c r="Y117" s="1185"/>
      <c r="Z117" s="1185"/>
      <c r="AA117" s="1185"/>
      <c r="AB117" s="1185"/>
      <c r="AC117" s="1185"/>
      <c r="AD117" s="1185"/>
      <c r="AE117" s="1185"/>
      <c r="AF117" s="1185"/>
      <c r="AG117" s="1185"/>
      <c r="AH117" s="1185"/>
      <c r="AI117" s="1185"/>
      <c r="AJ117" s="1185"/>
      <c r="AK117" s="1185"/>
      <c r="AL117" s="1185"/>
      <c r="AM117" s="1185"/>
      <c r="AN117" s="1185"/>
      <c r="AO117" s="1185"/>
      <c r="AP117" s="1185"/>
      <c r="AQ117" s="1185"/>
      <c r="AR117" s="1386">
        <v>0</v>
      </c>
    </row>
    <row r="118" spans="1:44" s="2254" customFormat="1" ht="17.25" hidden="1" customHeight="1">
      <c r="A118" s="258"/>
      <c r="C118" s="257"/>
      <c r="D118" s="2372"/>
      <c r="E118" s="2380"/>
      <c r="F118" s="2382"/>
      <c r="G118" s="2380"/>
      <c r="H118" s="2385"/>
      <c r="I118" s="2387"/>
      <c r="J118" s="2390"/>
      <c r="K118" s="2374"/>
      <c r="L118" s="1861"/>
      <c r="M118" s="1861"/>
      <c r="N118" s="1861"/>
      <c r="O118" s="1861"/>
      <c r="P118" s="1861"/>
      <c r="Q118" s="1861"/>
      <c r="R118" s="1861"/>
      <c r="S118" s="266"/>
      <c r="T118" s="266"/>
      <c r="U118" s="266"/>
      <c r="V118" s="266"/>
      <c r="W118" s="1862"/>
      <c r="X118" s="1185"/>
      <c r="Y118" s="1185"/>
      <c r="Z118" s="1185"/>
      <c r="AA118" s="1185"/>
      <c r="AB118" s="1185"/>
      <c r="AC118" s="1185"/>
      <c r="AD118" s="1185"/>
      <c r="AE118" s="1185"/>
      <c r="AF118" s="1185"/>
      <c r="AG118" s="1185"/>
      <c r="AH118" s="1185"/>
      <c r="AI118" s="1185"/>
      <c r="AJ118" s="1185"/>
      <c r="AK118" s="1185"/>
      <c r="AL118" s="1185"/>
      <c r="AM118" s="1185"/>
      <c r="AN118" s="1185"/>
      <c r="AO118" s="1185"/>
      <c r="AP118" s="1185"/>
      <c r="AQ118" s="1185"/>
      <c r="AR118" s="1386">
        <v>0</v>
      </c>
    </row>
    <row r="119" spans="1:44" s="2254" customFormat="1" ht="17.25" hidden="1" customHeight="1">
      <c r="A119" s="258"/>
      <c r="C119" s="257"/>
      <c r="D119" s="2372"/>
      <c r="E119" s="2380"/>
      <c r="F119" s="2383"/>
      <c r="G119" s="2380"/>
      <c r="H119" s="1218"/>
      <c r="I119" s="1859"/>
      <c r="J119" s="1859"/>
      <c r="K119" s="1859"/>
      <c r="L119" s="1859"/>
      <c r="M119" s="1859"/>
      <c r="N119" s="1859"/>
      <c r="O119" s="1859"/>
      <c r="P119" s="1859"/>
      <c r="Q119" s="1859"/>
      <c r="R119" s="1859"/>
      <c r="S119" s="1220"/>
      <c r="T119" s="1220"/>
      <c r="U119" s="1220"/>
      <c r="V119" s="1220"/>
      <c r="W119" s="1860"/>
      <c r="X119" s="1185"/>
      <c r="Y119" s="1185"/>
      <c r="Z119" s="1185"/>
      <c r="AA119" s="1185"/>
      <c r="AB119" s="1185"/>
      <c r="AC119" s="1185"/>
      <c r="AD119" s="1185"/>
      <c r="AE119" s="1185"/>
      <c r="AF119" s="1185"/>
      <c r="AG119" s="1185"/>
      <c r="AH119" s="1185"/>
      <c r="AI119" s="1185"/>
      <c r="AJ119" s="1185"/>
      <c r="AK119" s="1185"/>
      <c r="AL119" s="1185"/>
      <c r="AM119" s="1185"/>
      <c r="AN119" s="1185"/>
      <c r="AO119" s="1185"/>
      <c r="AP119" s="1185"/>
      <c r="AQ119" s="1185"/>
      <c r="AR119" s="1386">
        <v>0</v>
      </c>
    </row>
    <row r="120" spans="1:44" s="2254" customFormat="1" ht="11.25" hidden="1" customHeight="1">
      <c r="A120" s="214"/>
      <c r="B120" s="214"/>
      <c r="Y120" s="1178"/>
      <c r="Z120" s="1178"/>
      <c r="AA120" s="1178"/>
      <c r="AB120" s="1178"/>
      <c r="AC120" s="1178"/>
      <c r="AD120" s="1178"/>
      <c r="AE120" s="1178"/>
      <c r="AF120" s="1178"/>
      <c r="AG120" s="1178"/>
      <c r="AH120" s="1178"/>
      <c r="AI120" s="1178"/>
      <c r="AJ120" s="1178"/>
      <c r="AK120" s="1178"/>
      <c r="AL120" s="1178"/>
      <c r="AM120" s="1178"/>
      <c r="AN120" s="1178"/>
      <c r="AO120" s="1178"/>
      <c r="AP120" s="1178"/>
      <c r="AQ120" s="1178"/>
      <c r="AR120" s="1386">
        <v>0</v>
      </c>
    </row>
    <row r="121" spans="1:44" s="2254" customFormat="1" ht="17.25" hidden="1" customHeight="1">
      <c r="A121" s="258"/>
      <c r="C121" s="146"/>
      <c r="D121" s="2371">
        <v>1</v>
      </c>
      <c r="E121" s="2379" t="s">
        <v>262</v>
      </c>
      <c r="F121" s="2381" t="s">
        <v>19</v>
      </c>
      <c r="G121" s="2379"/>
      <c r="H121" s="2384"/>
      <c r="I121" s="2386"/>
      <c r="J121" s="2388"/>
      <c r="K121" s="2373"/>
      <c r="L121" s="2373"/>
      <c r="M121" s="2373"/>
      <c r="N121" s="2375"/>
      <c r="O121" s="2373"/>
      <c r="P121" s="2373"/>
      <c r="Q121" s="2373"/>
      <c r="R121" s="2378"/>
      <c r="S121" s="2373"/>
      <c r="T121" s="1389"/>
      <c r="U121" s="1389"/>
      <c r="V121" s="1391"/>
      <c r="W121" s="1215"/>
      <c r="Y121" s="1186"/>
      <c r="Z121" s="1186"/>
      <c r="AA121" s="1186"/>
      <c r="AB121" s="1186"/>
      <c r="AC121" s="1186" t="s">
        <v>263</v>
      </c>
      <c r="AD121" s="1186" t="s">
        <v>264</v>
      </c>
      <c r="AE121" s="1186" t="s">
        <v>265</v>
      </c>
      <c r="AF121" s="1186" t="s">
        <v>266</v>
      </c>
      <c r="AG121" s="1186"/>
      <c r="AH121" s="1186" t="str">
        <f>IF($E$121=0,"",$E$121)</f>
        <v>Тариф на водоотведение</v>
      </c>
      <c r="AI121" s="1186" t="str">
        <f>IF($G$121=0,"",$G$121)</f>
        <v/>
      </c>
      <c r="AJ121" s="1186" t="str">
        <f>IF($J$121=0,"",$J$121)</f>
        <v/>
      </c>
      <c r="AK121" s="1186" t="str">
        <f>IF($K$121="нет","без дифференциации",IF($N$121=0,"",$N$121))</f>
        <v/>
      </c>
      <c r="AL121" s="1186" t="str">
        <f>IF($O$121="нет","без дифференциации",IF($R$121=0,"",$R$121))</f>
        <v/>
      </c>
      <c r="AM121" s="1186" t="str">
        <f>IF($S$121="нет","без дифференциации",IF($V$121=0,"",$V$121))</f>
        <v/>
      </c>
      <c r="AN121" s="1186">
        <f>$I$121</f>
        <v>0</v>
      </c>
      <c r="AO121" s="1186" t="str">
        <f>$I$121&amp;"."&amp;$M$121</f>
        <v>.</v>
      </c>
      <c r="AP121" s="1186" t="str">
        <f>$I$121&amp;"."&amp;$M$121&amp;"."&amp;$Q$121</f>
        <v>..</v>
      </c>
      <c r="AQ121" s="1186" t="str">
        <f>$I$121&amp;"."&amp;$M$121&amp;"."&amp;$Q$121&amp;"."&amp;$U$121</f>
        <v>...</v>
      </c>
      <c r="AR121" s="1386">
        <v>0</v>
      </c>
    </row>
    <row r="122" spans="1:44" s="2254" customFormat="1" ht="17.25" hidden="1" customHeight="1">
      <c r="A122" s="258"/>
      <c r="C122" s="257"/>
      <c r="D122" s="2371"/>
      <c r="E122" s="2379"/>
      <c r="F122" s="2382"/>
      <c r="G122" s="2379"/>
      <c r="H122" s="2385"/>
      <c r="I122" s="2387"/>
      <c r="J122" s="2389"/>
      <c r="K122" s="2374"/>
      <c r="L122" s="2374"/>
      <c r="M122" s="2374"/>
      <c r="N122" s="2376"/>
      <c r="O122" s="2374"/>
      <c r="P122" s="2374"/>
      <c r="Q122" s="2374"/>
      <c r="R122" s="2377"/>
      <c r="S122" s="2374"/>
      <c r="T122" s="1216"/>
      <c r="U122" s="1216"/>
      <c r="V122" s="1216"/>
      <c r="W122" s="1217"/>
      <c r="Y122" s="1178"/>
      <c r="Z122" s="1178"/>
      <c r="AA122" s="1178"/>
      <c r="AB122" s="1178"/>
      <c r="AC122" s="1178"/>
      <c r="AD122" s="1178"/>
      <c r="AE122" s="1178"/>
      <c r="AF122" s="1178"/>
      <c r="AG122" s="1178"/>
      <c r="AH122" s="1178"/>
      <c r="AI122" s="1178"/>
      <c r="AJ122" s="1178"/>
      <c r="AK122" s="1178"/>
      <c r="AL122" s="1178"/>
      <c r="AM122" s="1178"/>
      <c r="AN122" s="1178"/>
      <c r="AO122" s="1178"/>
      <c r="AP122" s="1178"/>
      <c r="AQ122" s="1178"/>
      <c r="AR122" s="1386">
        <v>0</v>
      </c>
    </row>
    <row r="123" spans="1:44" s="2254" customFormat="1" ht="17.25" hidden="1" customHeight="1">
      <c r="A123" s="258"/>
      <c r="C123" s="146"/>
      <c r="D123" s="2371"/>
      <c r="E123" s="2379"/>
      <c r="F123" s="2382"/>
      <c r="G123" s="2379"/>
      <c r="H123" s="2385"/>
      <c r="I123" s="2387"/>
      <c r="J123" s="2390"/>
      <c r="K123" s="2374"/>
      <c r="L123" s="2374"/>
      <c r="M123" s="2374"/>
      <c r="N123" s="2377"/>
      <c r="O123" s="2374"/>
      <c r="P123" s="1390"/>
      <c r="Q123" s="1216"/>
      <c r="R123" s="1216"/>
      <c r="S123" s="266"/>
      <c r="T123" s="266"/>
      <c r="U123" s="266"/>
      <c r="V123" s="266"/>
      <c r="W123" s="1217"/>
      <c r="Y123" s="1186"/>
      <c r="Z123" s="1186"/>
      <c r="AA123" s="1186"/>
      <c r="AB123" s="1186"/>
      <c r="AC123" s="1186"/>
      <c r="AD123" s="1186"/>
      <c r="AE123" s="1186"/>
      <c r="AF123" s="1186"/>
      <c r="AG123" s="1186"/>
      <c r="AH123" s="1186"/>
      <c r="AI123" s="1186"/>
      <c r="AJ123" s="1186"/>
      <c r="AK123" s="1186"/>
      <c r="AL123" s="1186"/>
      <c r="AM123" s="1186"/>
      <c r="AN123" s="1186"/>
      <c r="AO123" s="1186"/>
      <c r="AP123" s="1186"/>
      <c r="AQ123" s="1186"/>
      <c r="AR123" s="1386">
        <v>0</v>
      </c>
    </row>
    <row r="124" spans="1:44" s="2254" customFormat="1" ht="17.25" hidden="1" customHeight="1">
      <c r="A124" s="258"/>
      <c r="C124" s="257"/>
      <c r="D124" s="2371"/>
      <c r="E124" s="2379"/>
      <c r="F124" s="2382"/>
      <c r="G124" s="2379"/>
      <c r="H124" s="2385"/>
      <c r="I124" s="2387"/>
      <c r="J124" s="2390"/>
      <c r="K124" s="2374"/>
      <c r="L124" s="1216"/>
      <c r="M124" s="1216"/>
      <c r="N124" s="1216"/>
      <c r="O124" s="1216"/>
      <c r="P124" s="1216"/>
      <c r="Q124" s="1216"/>
      <c r="R124" s="1216"/>
      <c r="S124" s="266"/>
      <c r="T124" s="266"/>
      <c r="U124" s="266"/>
      <c r="V124" s="266"/>
      <c r="W124" s="1217"/>
      <c r="Y124" s="1178"/>
      <c r="Z124" s="1178"/>
      <c r="AA124" s="1178"/>
      <c r="AB124" s="1178"/>
      <c r="AC124" s="1178"/>
      <c r="AD124" s="1178"/>
      <c r="AE124" s="1178"/>
      <c r="AF124" s="1178"/>
      <c r="AG124" s="1178"/>
      <c r="AH124" s="1178"/>
      <c r="AI124" s="1178"/>
      <c r="AJ124" s="1178"/>
      <c r="AK124" s="1178"/>
      <c r="AL124" s="1178"/>
      <c r="AM124" s="1178"/>
      <c r="AN124" s="1178"/>
      <c r="AO124" s="1178"/>
      <c r="AP124" s="1178"/>
      <c r="AQ124" s="1178"/>
      <c r="AR124" s="1386">
        <v>0</v>
      </c>
    </row>
    <row r="125" spans="1:44" s="2254" customFormat="1" ht="17.25" hidden="1" customHeight="1">
      <c r="A125" s="258"/>
      <c r="C125" s="257"/>
      <c r="D125" s="2372"/>
      <c r="E125" s="2380"/>
      <c r="F125" s="2383"/>
      <c r="G125" s="2380"/>
      <c r="H125" s="1218"/>
      <c r="I125" s="1219"/>
      <c r="J125" s="1219"/>
      <c r="K125" s="1219"/>
      <c r="L125" s="1219"/>
      <c r="M125" s="1219"/>
      <c r="N125" s="1219"/>
      <c r="O125" s="1219"/>
      <c r="P125" s="1219"/>
      <c r="Q125" s="1219"/>
      <c r="R125" s="1219"/>
      <c r="S125" s="1220"/>
      <c r="T125" s="1220"/>
      <c r="U125" s="1220"/>
      <c r="V125" s="1220"/>
      <c r="W125" s="1221"/>
      <c r="Y125" s="1178"/>
      <c r="Z125" s="1178"/>
      <c r="AA125" s="1178"/>
      <c r="AB125" s="1178"/>
      <c r="AC125" s="1178"/>
      <c r="AD125" s="1178"/>
      <c r="AE125" s="1178"/>
      <c r="AF125" s="1178"/>
      <c r="AG125" s="1178"/>
      <c r="AH125" s="1178"/>
      <c r="AI125" s="1178"/>
      <c r="AJ125" s="1178"/>
      <c r="AK125" s="1178"/>
      <c r="AL125" s="1178"/>
      <c r="AM125" s="1178"/>
      <c r="AN125" s="1178"/>
      <c r="AO125" s="1178"/>
      <c r="AP125" s="1178"/>
      <c r="AQ125" s="1178"/>
      <c r="AR125" s="1386">
        <v>0</v>
      </c>
    </row>
    <row r="126" spans="1:44" s="2254" customFormat="1" ht="17.25" hidden="1" customHeight="1">
      <c r="A126" s="258"/>
      <c r="C126" s="146"/>
      <c r="D126" s="2371">
        <v>2</v>
      </c>
      <c r="E126" s="2379" t="s">
        <v>267</v>
      </c>
      <c r="F126" s="2381" t="s">
        <v>19</v>
      </c>
      <c r="G126" s="2379"/>
      <c r="H126" s="2384"/>
      <c r="I126" s="2386"/>
      <c r="J126" s="2388"/>
      <c r="K126" s="2373"/>
      <c r="L126" s="2373"/>
      <c r="M126" s="2373"/>
      <c r="N126" s="2375"/>
      <c r="O126" s="2373"/>
      <c r="P126" s="2373"/>
      <c r="Q126" s="2373"/>
      <c r="R126" s="2378"/>
      <c r="S126" s="2373"/>
      <c r="T126" s="1389"/>
      <c r="U126" s="1389"/>
      <c r="V126" s="1391"/>
      <c r="W126" s="1215"/>
      <c r="X126" s="1186"/>
      <c r="Y126" s="1186"/>
      <c r="Z126" s="1186"/>
      <c r="AA126" s="1186"/>
      <c r="AB126" s="1186"/>
      <c r="AC126" s="1186" t="s">
        <v>268</v>
      </c>
      <c r="AD126" s="1186" t="s">
        <v>269</v>
      </c>
      <c r="AE126" s="1186" t="s">
        <v>270</v>
      </c>
      <c r="AF126" s="1186" t="s">
        <v>271</v>
      </c>
      <c r="AG126" s="1186"/>
      <c r="AH126" s="1186" t="str">
        <f>IF($E$126=0,"",$E$126)</f>
        <v>Тариф на транспортировку сточных вод</v>
      </c>
      <c r="AI126" s="1186" t="str">
        <f>IF($G$126=0,"",$G$126)</f>
        <v/>
      </c>
      <c r="AJ126" s="1186" t="str">
        <f>IF($J$126=0,"",$J$126)</f>
        <v/>
      </c>
      <c r="AK126" s="1186" t="str">
        <f>IF($K$126="нет","без дифференциации",IF($N$126=0,"",$N$126))</f>
        <v/>
      </c>
      <c r="AL126" s="1186" t="str">
        <f>IF($O$126="нет","без дифференциации",IF($R$126=0,"",$R$126))</f>
        <v/>
      </c>
      <c r="AM126" s="1186" t="str">
        <f>IF($S$126="нет","без дифференциации",IF($V$126=0,"",$V$126))</f>
        <v/>
      </c>
      <c r="AN126" s="1690">
        <f>$I$126</f>
        <v>0</v>
      </c>
      <c r="AO126" s="1186" t="str">
        <f>$I$126&amp;"."&amp;$M$126</f>
        <v>.</v>
      </c>
      <c r="AP126" s="1178" t="str">
        <f>$I$126&amp;"."&amp;$M$126&amp;"."&amp;$Q$126</f>
        <v>..</v>
      </c>
      <c r="AQ126" s="1178" t="str">
        <f>$I$126&amp;"."&amp;$M$126&amp;"."&amp;$Q$126&amp;"."&amp;$U$126</f>
        <v>...</v>
      </c>
      <c r="AR126" s="1386">
        <v>0</v>
      </c>
    </row>
    <row r="127" spans="1:44" s="2254" customFormat="1" ht="17.25" hidden="1" customHeight="1">
      <c r="A127" s="258"/>
      <c r="C127" s="257"/>
      <c r="D127" s="2371"/>
      <c r="E127" s="2379"/>
      <c r="F127" s="2382"/>
      <c r="G127" s="2379"/>
      <c r="H127" s="2385"/>
      <c r="I127" s="2387"/>
      <c r="J127" s="2389"/>
      <c r="K127" s="2374"/>
      <c r="L127" s="2374"/>
      <c r="M127" s="2374"/>
      <c r="N127" s="2376"/>
      <c r="O127" s="2374"/>
      <c r="P127" s="2374"/>
      <c r="Q127" s="2374"/>
      <c r="R127" s="2377"/>
      <c r="S127" s="2374"/>
      <c r="T127" s="1216"/>
      <c r="U127" s="1216"/>
      <c r="V127" s="1216"/>
      <c r="W127" s="1217"/>
      <c r="X127" s="1178"/>
      <c r="Y127" s="1178"/>
      <c r="Z127" s="1178"/>
      <c r="AA127" s="1178"/>
      <c r="AB127" s="1178"/>
      <c r="AC127" s="1178"/>
      <c r="AD127" s="1178"/>
      <c r="AE127" s="1178"/>
      <c r="AF127" s="1178"/>
      <c r="AG127" s="1178"/>
      <c r="AH127" s="1178"/>
      <c r="AI127" s="1178"/>
      <c r="AJ127" s="1178"/>
      <c r="AK127" s="1178"/>
      <c r="AL127" s="1178"/>
      <c r="AM127" s="1178"/>
      <c r="AN127" s="1178"/>
      <c r="AO127" s="1178"/>
      <c r="AP127" s="1178"/>
      <c r="AQ127" s="1178"/>
      <c r="AR127" s="1386">
        <v>0</v>
      </c>
    </row>
    <row r="128" spans="1:44" s="2254" customFormat="1" ht="17.25" hidden="1" customHeight="1">
      <c r="A128" s="258"/>
      <c r="C128" s="257"/>
      <c r="D128" s="2372"/>
      <c r="E128" s="2380"/>
      <c r="F128" s="2382"/>
      <c r="G128" s="2380"/>
      <c r="H128" s="2385"/>
      <c r="I128" s="2387"/>
      <c r="J128" s="2390"/>
      <c r="K128" s="2374"/>
      <c r="L128" s="2374"/>
      <c r="M128" s="2374"/>
      <c r="N128" s="2377"/>
      <c r="O128" s="2374"/>
      <c r="P128" s="1390"/>
      <c r="Q128" s="1216"/>
      <c r="R128" s="1216"/>
      <c r="S128" s="266"/>
      <c r="T128" s="266"/>
      <c r="U128" s="266"/>
      <c r="V128" s="266"/>
      <c r="W128" s="1217"/>
      <c r="X128" s="1178"/>
      <c r="Y128" s="1178"/>
      <c r="Z128" s="1178"/>
      <c r="AA128" s="1178"/>
      <c r="AB128" s="1178"/>
      <c r="AC128" s="1178"/>
      <c r="AD128" s="1178"/>
      <c r="AE128" s="1178"/>
      <c r="AF128" s="1178"/>
      <c r="AG128" s="1178"/>
      <c r="AH128" s="1178"/>
      <c r="AI128" s="1178"/>
      <c r="AJ128" s="1178"/>
      <c r="AK128" s="1178"/>
      <c r="AL128" s="1178"/>
      <c r="AM128" s="1178"/>
      <c r="AN128" s="1178"/>
      <c r="AO128" s="1178"/>
      <c r="AP128" s="1178"/>
      <c r="AQ128" s="1178"/>
      <c r="AR128" s="1386">
        <v>0</v>
      </c>
    </row>
    <row r="129" spans="1:44" s="2254" customFormat="1" ht="17.25" hidden="1" customHeight="1">
      <c r="A129" s="258"/>
      <c r="C129" s="257"/>
      <c r="D129" s="2372"/>
      <c r="E129" s="2380"/>
      <c r="F129" s="2382"/>
      <c r="G129" s="2380"/>
      <c r="H129" s="2385"/>
      <c r="I129" s="2387"/>
      <c r="J129" s="2390"/>
      <c r="K129" s="2374"/>
      <c r="L129" s="1216"/>
      <c r="M129" s="1216"/>
      <c r="N129" s="1216"/>
      <c r="O129" s="1216"/>
      <c r="P129" s="1216"/>
      <c r="Q129" s="1216"/>
      <c r="R129" s="1216"/>
      <c r="S129" s="266"/>
      <c r="T129" s="266"/>
      <c r="U129" s="266"/>
      <c r="V129" s="266"/>
      <c r="W129" s="1217"/>
      <c r="X129" s="1178"/>
      <c r="Y129" s="1178"/>
      <c r="Z129" s="1178"/>
      <c r="AA129" s="1178"/>
      <c r="AB129" s="1178"/>
      <c r="AC129" s="1178"/>
      <c r="AD129" s="1178"/>
      <c r="AE129" s="1178"/>
      <c r="AF129" s="1178"/>
      <c r="AG129" s="1178"/>
      <c r="AH129" s="1178"/>
      <c r="AI129" s="1178"/>
      <c r="AJ129" s="1178"/>
      <c r="AK129" s="1178"/>
      <c r="AL129" s="1178"/>
      <c r="AM129" s="1178"/>
      <c r="AN129" s="1178"/>
      <c r="AO129" s="1178"/>
      <c r="AP129" s="1178"/>
      <c r="AQ129" s="1178"/>
      <c r="AR129" s="1386">
        <v>0</v>
      </c>
    </row>
    <row r="130" spans="1:44" s="2254" customFormat="1" ht="17.25" hidden="1" customHeight="1">
      <c r="A130" s="258"/>
      <c r="C130" s="257"/>
      <c r="D130" s="2372"/>
      <c r="E130" s="2380"/>
      <c r="F130" s="2383"/>
      <c r="G130" s="2380"/>
      <c r="H130" s="1218"/>
      <c r="I130" s="1219"/>
      <c r="J130" s="1219"/>
      <c r="K130" s="1219"/>
      <c r="L130" s="1219"/>
      <c r="M130" s="1219"/>
      <c r="N130" s="1219"/>
      <c r="O130" s="1219"/>
      <c r="P130" s="1219"/>
      <c r="Q130" s="1219"/>
      <c r="R130" s="1219"/>
      <c r="S130" s="1220"/>
      <c r="T130" s="1220"/>
      <c r="U130" s="1220"/>
      <c r="V130" s="1220"/>
      <c r="W130" s="1221"/>
      <c r="X130" s="1178"/>
      <c r="Y130" s="1178"/>
      <c r="Z130" s="1178"/>
      <c r="AA130" s="1178"/>
      <c r="AB130" s="1178"/>
      <c r="AC130" s="1178"/>
      <c r="AD130" s="1178"/>
      <c r="AE130" s="1178"/>
      <c r="AF130" s="1178"/>
      <c r="AG130" s="1178"/>
      <c r="AH130" s="1178"/>
      <c r="AI130" s="1178"/>
      <c r="AJ130" s="1178"/>
      <c r="AK130" s="1178"/>
      <c r="AL130" s="1178"/>
      <c r="AM130" s="1178"/>
      <c r="AN130" s="1178"/>
      <c r="AO130" s="1178"/>
      <c r="AP130" s="1178"/>
      <c r="AQ130" s="1178"/>
      <c r="AR130" s="1386">
        <v>0</v>
      </c>
    </row>
    <row r="131" spans="1:44" s="2254" customFormat="1" ht="17.25" hidden="1" customHeight="1">
      <c r="A131" s="258"/>
      <c r="C131" s="146"/>
      <c r="D131" s="2371">
        <v>3</v>
      </c>
      <c r="E131" s="2379" t="s">
        <v>272</v>
      </c>
      <c r="F131" s="2381" t="s">
        <v>19</v>
      </c>
      <c r="G131" s="2379"/>
      <c r="H131" s="2384"/>
      <c r="I131" s="2386"/>
      <c r="J131" s="2388"/>
      <c r="K131" s="2373"/>
      <c r="L131" s="2373"/>
      <c r="M131" s="2373"/>
      <c r="N131" s="2375"/>
      <c r="O131" s="2373"/>
      <c r="P131" s="2373"/>
      <c r="Q131" s="2373"/>
      <c r="R131" s="2378"/>
      <c r="S131" s="2373"/>
      <c r="T131" s="1856"/>
      <c r="U131" s="1856"/>
      <c r="V131" s="1858"/>
      <c r="W131" s="1215"/>
      <c r="X131" s="1186"/>
      <c r="Y131" s="1186"/>
      <c r="Z131" s="1186"/>
      <c r="AA131" s="1186"/>
      <c r="AB131" s="1186"/>
      <c r="AC131" s="1186" t="s">
        <v>273</v>
      </c>
      <c r="AD131" s="1186" t="s">
        <v>274</v>
      </c>
      <c r="AE131" s="1186" t="s">
        <v>275</v>
      </c>
      <c r="AF131" s="1186" t="s">
        <v>276</v>
      </c>
      <c r="AG131" s="1186"/>
      <c r="AH131" s="1186" t="str">
        <f>IF($E$131=0,"",$E$131)</f>
        <v>Тариф на подключение (технологическое присоединение) к централизованной системе водоотведения</v>
      </c>
      <c r="AI131" s="1186" t="str">
        <f>IF($G$131=0,"",$G$131)</f>
        <v/>
      </c>
      <c r="AJ131" s="1186" t="str">
        <f>IF($J$131=0,"",$J$131)</f>
        <v/>
      </c>
      <c r="AK131" s="1186" t="str">
        <f>IF($K$131="нет","без дифференциации",IF($N$131=0,"",$N$131))</f>
        <v/>
      </c>
      <c r="AL131" s="1186" t="str">
        <f>IF($O$131="нет","без дифференциации",IF($R$131=0,"",$R$131))</f>
        <v/>
      </c>
      <c r="AM131" s="1186" t="str">
        <f>IF($S$131="нет","без дифференциации",IF($V$131=0,"",$V$131))</f>
        <v/>
      </c>
      <c r="AN131" s="1690">
        <f>$I$131</f>
        <v>0</v>
      </c>
      <c r="AO131" s="1186" t="str">
        <f>$I$131&amp;"."&amp;$M$131</f>
        <v>.</v>
      </c>
      <c r="AP131" s="1185" t="str">
        <f>$I$131&amp;"."&amp;$M$131&amp;"."&amp;$Q$131</f>
        <v>..</v>
      </c>
      <c r="AQ131" s="1185" t="str">
        <f>$I$131&amp;"."&amp;$M$131&amp;"."&amp;$Q$131&amp;"."&amp;$U$131</f>
        <v>...</v>
      </c>
      <c r="AR131" s="1386">
        <v>0</v>
      </c>
    </row>
    <row r="132" spans="1:44" s="2254" customFormat="1" ht="17.25" hidden="1" customHeight="1">
      <c r="A132" s="258"/>
      <c r="C132" s="257"/>
      <c r="D132" s="2371"/>
      <c r="E132" s="2379"/>
      <c r="F132" s="2382"/>
      <c r="G132" s="2379"/>
      <c r="H132" s="2385"/>
      <c r="I132" s="2387"/>
      <c r="J132" s="2389"/>
      <c r="K132" s="2374"/>
      <c r="L132" s="2374"/>
      <c r="M132" s="2374"/>
      <c r="N132" s="2376"/>
      <c r="O132" s="2374"/>
      <c r="P132" s="2374"/>
      <c r="Q132" s="2374"/>
      <c r="R132" s="2377"/>
      <c r="S132" s="2374"/>
      <c r="T132" s="1861"/>
      <c r="U132" s="1861"/>
      <c r="V132" s="1861"/>
      <c r="W132" s="1862"/>
      <c r="X132" s="1185"/>
      <c r="Y132" s="1185"/>
      <c r="Z132" s="1185"/>
      <c r="AA132" s="1185"/>
      <c r="AB132" s="1185"/>
      <c r="AC132" s="1185"/>
      <c r="AD132" s="1185"/>
      <c r="AE132" s="1185"/>
      <c r="AF132" s="1185"/>
      <c r="AG132" s="1185"/>
      <c r="AH132" s="1185"/>
      <c r="AI132" s="1185"/>
      <c r="AJ132" s="1185"/>
      <c r="AK132" s="1185"/>
      <c r="AL132" s="1185"/>
      <c r="AM132" s="1185"/>
      <c r="AN132" s="1185"/>
      <c r="AO132" s="1185"/>
      <c r="AP132" s="1185"/>
      <c r="AQ132" s="1185"/>
      <c r="AR132" s="1386">
        <v>0</v>
      </c>
    </row>
    <row r="133" spans="1:44" s="2254" customFormat="1" ht="17.25" hidden="1" customHeight="1">
      <c r="A133" s="258"/>
      <c r="C133" s="257"/>
      <c r="D133" s="2372"/>
      <c r="E133" s="2380"/>
      <c r="F133" s="2382"/>
      <c r="G133" s="2380"/>
      <c r="H133" s="2385"/>
      <c r="I133" s="2387"/>
      <c r="J133" s="2390"/>
      <c r="K133" s="2374"/>
      <c r="L133" s="2374"/>
      <c r="M133" s="2374"/>
      <c r="N133" s="2377"/>
      <c r="O133" s="2374"/>
      <c r="P133" s="1857"/>
      <c r="Q133" s="1861"/>
      <c r="R133" s="1861"/>
      <c r="S133" s="266"/>
      <c r="T133" s="266"/>
      <c r="U133" s="266"/>
      <c r="V133" s="266"/>
      <c r="W133" s="1862"/>
      <c r="X133" s="1185"/>
      <c r="Y133" s="1185"/>
      <c r="Z133" s="1185"/>
      <c r="AA133" s="1185"/>
      <c r="AB133" s="1185"/>
      <c r="AC133" s="1185"/>
      <c r="AD133" s="1185"/>
      <c r="AE133" s="1185"/>
      <c r="AF133" s="1185"/>
      <c r="AG133" s="1185"/>
      <c r="AH133" s="1185"/>
      <c r="AI133" s="1185"/>
      <c r="AJ133" s="1185"/>
      <c r="AK133" s="1185"/>
      <c r="AL133" s="1185"/>
      <c r="AM133" s="1185"/>
      <c r="AN133" s="1185"/>
      <c r="AO133" s="1185"/>
      <c r="AP133" s="1185"/>
      <c r="AQ133" s="1185"/>
      <c r="AR133" s="1386">
        <v>0</v>
      </c>
    </row>
    <row r="134" spans="1:44" s="2254" customFormat="1" ht="17.25" hidden="1" customHeight="1">
      <c r="A134" s="258"/>
      <c r="C134" s="257"/>
      <c r="D134" s="2372"/>
      <c r="E134" s="2380"/>
      <c r="F134" s="2382"/>
      <c r="G134" s="2380"/>
      <c r="H134" s="2385"/>
      <c r="I134" s="2387"/>
      <c r="J134" s="2390"/>
      <c r="K134" s="2374"/>
      <c r="L134" s="1861"/>
      <c r="M134" s="1861"/>
      <c r="N134" s="1861"/>
      <c r="O134" s="1861"/>
      <c r="P134" s="1861"/>
      <c r="Q134" s="1861"/>
      <c r="R134" s="1861"/>
      <c r="S134" s="266"/>
      <c r="T134" s="266"/>
      <c r="U134" s="266"/>
      <c r="V134" s="266"/>
      <c r="W134" s="1862"/>
      <c r="X134" s="1185"/>
      <c r="Y134" s="1185"/>
      <c r="Z134" s="1185"/>
      <c r="AA134" s="1185"/>
      <c r="AB134" s="1185"/>
      <c r="AC134" s="1185"/>
      <c r="AD134" s="1185"/>
      <c r="AE134" s="1185"/>
      <c r="AF134" s="1185"/>
      <c r="AG134" s="1185"/>
      <c r="AH134" s="1185"/>
      <c r="AI134" s="1185"/>
      <c r="AJ134" s="1185"/>
      <c r="AK134" s="1185"/>
      <c r="AL134" s="1185"/>
      <c r="AM134" s="1185"/>
      <c r="AN134" s="1185"/>
      <c r="AO134" s="1185"/>
      <c r="AP134" s="1185"/>
      <c r="AQ134" s="1185"/>
      <c r="AR134" s="1386">
        <v>0</v>
      </c>
    </row>
    <row r="135" spans="1:44" s="2254" customFormat="1" ht="17.25" hidden="1" customHeight="1">
      <c r="A135" s="258"/>
      <c r="C135" s="257"/>
      <c r="D135" s="2372"/>
      <c r="E135" s="2380"/>
      <c r="F135" s="2383"/>
      <c r="G135" s="2380"/>
      <c r="H135" s="1218"/>
      <c r="I135" s="1859"/>
      <c r="J135" s="1859"/>
      <c r="K135" s="1859"/>
      <c r="L135" s="1859"/>
      <c r="M135" s="1859"/>
      <c r="N135" s="1859"/>
      <c r="O135" s="1859"/>
      <c r="P135" s="1859"/>
      <c r="Q135" s="1859"/>
      <c r="R135" s="1859"/>
      <c r="S135" s="1220"/>
      <c r="T135" s="1220"/>
      <c r="U135" s="1220"/>
      <c r="V135" s="1220"/>
      <c r="W135" s="1860"/>
      <c r="X135" s="1185"/>
      <c r="Y135" s="1185"/>
      <c r="Z135" s="1185"/>
      <c r="AA135" s="1185"/>
      <c r="AB135" s="1185"/>
      <c r="AC135" s="1185"/>
      <c r="AD135" s="1185"/>
      <c r="AE135" s="1185"/>
      <c r="AF135" s="1185"/>
      <c r="AG135" s="1185"/>
      <c r="AH135" s="1185"/>
      <c r="AI135" s="1185"/>
      <c r="AJ135" s="1185"/>
      <c r="AK135" s="1185"/>
      <c r="AL135" s="1185"/>
      <c r="AM135" s="1185"/>
      <c r="AN135" s="1185"/>
      <c r="AO135" s="1185"/>
      <c r="AP135" s="1185"/>
      <c r="AQ135" s="1185"/>
      <c r="AR135" s="1386">
        <v>0</v>
      </c>
    </row>
    <row r="136" spans="1:44" ht="11.45" customHeight="1">
      <c r="AR136" s="44">
        <v>11</v>
      </c>
    </row>
    <row r="137" spans="1:44" ht="11.45" customHeight="1">
      <c r="AR137" s="44">
        <v>11</v>
      </c>
    </row>
    <row r="138" spans="1:44" ht="11.45" customHeight="1">
      <c r="AR138" s="44">
        <v>11</v>
      </c>
    </row>
    <row r="139" spans="1:44" ht="11.45" customHeight="1">
      <c r="E139" s="1269"/>
      <c r="AR139" s="44">
        <v>11</v>
      </c>
    </row>
    <row r="140" spans="1:44" ht="11.45" customHeight="1">
      <c r="E140" s="1269"/>
      <c r="AR140" s="44">
        <v>11</v>
      </c>
    </row>
    <row r="141" spans="1:44" ht="11.45" customHeight="1">
      <c r="E141" s="1269"/>
      <c r="AR141" s="44">
        <v>11</v>
      </c>
    </row>
    <row r="142" spans="1:44" ht="11.45" customHeight="1">
      <c r="E142" s="1269"/>
      <c r="AR142" s="44">
        <v>11</v>
      </c>
    </row>
    <row r="143" spans="1:44" ht="11.45" customHeight="1">
      <c r="E143" s="1269"/>
      <c r="AR143" s="44">
        <v>11</v>
      </c>
    </row>
    <row r="144" spans="1:44" ht="11.45" customHeight="1">
      <c r="E144" s="1269"/>
      <c r="AR144" s="44">
        <v>11</v>
      </c>
    </row>
    <row r="145" spans="1:44" ht="11.45" customHeight="1">
      <c r="E145" s="1269"/>
      <c r="AR145" s="44">
        <v>11</v>
      </c>
    </row>
    <row r="146" spans="1:44" ht="11.25" hidden="1" customHeight="1">
      <c r="A146" s="91" t="s">
        <v>81</v>
      </c>
      <c r="B146" s="91">
        <v>0</v>
      </c>
      <c r="C146" s="44">
        <v>3</v>
      </c>
      <c r="D146" s="44">
        <v>6</v>
      </c>
      <c r="E146" s="44">
        <v>42</v>
      </c>
      <c r="F146" s="1202">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8">
        <v>0</v>
      </c>
      <c r="Z146" s="1178">
        <v>0</v>
      </c>
      <c r="AA146" s="1178">
        <v>0</v>
      </c>
      <c r="AB146" s="1178">
        <v>0</v>
      </c>
      <c r="AC146" s="1178">
        <v>0</v>
      </c>
      <c r="AD146" s="1178">
        <v>0</v>
      </c>
      <c r="AE146" s="1178">
        <v>0</v>
      </c>
      <c r="AF146" s="1178">
        <v>0</v>
      </c>
      <c r="AG146" s="1178">
        <v>0</v>
      </c>
      <c r="AH146" s="1178">
        <v>0</v>
      </c>
      <c r="AI146" s="1178">
        <v>0</v>
      </c>
      <c r="AJ146" s="1178">
        <v>0</v>
      </c>
      <c r="AK146" s="1178">
        <v>0</v>
      </c>
      <c r="AL146" s="1178">
        <v>0</v>
      </c>
      <c r="AM146" s="1178">
        <v>0</v>
      </c>
      <c r="AN146" s="1178">
        <v>0</v>
      </c>
      <c r="AO146" s="1178">
        <v>0</v>
      </c>
      <c r="AP146" s="1178">
        <v>0</v>
      </c>
      <c r="AQ146" s="1178">
        <v>0</v>
      </c>
      <c r="AR146" s="44">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2236" hidden="1" customWidth="1"/>
    <col min="2" max="2" width="9.140625" style="2238" hidden="1" customWidth="1"/>
    <col min="3" max="3" width="4" style="2283" customWidth="1"/>
    <col min="4" max="4" width="6" style="2238" customWidth="1"/>
    <col min="5" max="5" width="47" style="2238" customWidth="1"/>
    <col min="6" max="6" width="9" style="2238" customWidth="1"/>
    <col min="7" max="7" width="25.7109375" style="2238" hidden="1" customWidth="1"/>
    <col min="8" max="8" width="34" style="2238" hidden="1" customWidth="1"/>
    <col min="9" max="9" width="25.7109375" style="2238" customWidth="1"/>
    <col min="10" max="10" width="33" style="2238" customWidth="1"/>
    <col min="11" max="11" width="50" style="2244" customWidth="1"/>
    <col min="12" max="20" width="10" style="2238" customWidth="1"/>
    <col min="21" max="21" width="10" style="2284" customWidth="1"/>
    <col min="22" max="22" width="10.5703125" style="2238" hidden="1"/>
  </cols>
  <sheetData>
    <row r="1" spans="1:22" s="2244" customFormat="1" ht="22.5" hidden="1" customHeight="1">
      <c r="C1" s="609"/>
      <c r="G1" s="354">
        <v>4</v>
      </c>
      <c r="I1" s="354">
        <v>4</v>
      </c>
      <c r="U1" s="357"/>
      <c r="V1" s="354" t="s">
        <v>14</v>
      </c>
    </row>
    <row r="2" spans="1:22" s="2238" customFormat="1" ht="15" hidden="1" customHeight="1">
      <c r="A2" s="299"/>
      <c r="C2" s="113"/>
      <c r="D2" s="283"/>
      <c r="E2" s="610"/>
      <c r="F2" s="459"/>
      <c r="G2" s="553"/>
      <c r="H2" s="553"/>
      <c r="I2" s="553"/>
      <c r="J2" s="553"/>
      <c r="U2" s="611"/>
      <c r="V2" s="446">
        <v>0</v>
      </c>
    </row>
    <row r="3" spans="1:22" s="2244"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467" t="s">
        <v>1192</v>
      </c>
      <c r="E5" s="2467"/>
      <c r="F5" s="2467"/>
      <c r="G5" s="2467"/>
      <c r="H5" s="2467"/>
      <c r="I5" s="2467"/>
      <c r="J5" s="2467"/>
      <c r="V5" s="442">
        <v>63</v>
      </c>
    </row>
    <row r="6" spans="1:22" ht="15.75" customHeight="1">
      <c r="C6" s="113"/>
      <c r="D6" s="2412" t="str">
        <f>IF(org=0,"Не определено",org)</f>
        <v>МУП "Водоканал"</v>
      </c>
      <c r="E6" s="2412"/>
      <c r="F6" s="2412"/>
      <c r="G6" s="2412"/>
      <c r="H6" s="2412"/>
      <c r="I6" s="2412"/>
      <c r="J6" s="2412"/>
      <c r="K6" s="474"/>
      <c r="V6" s="442">
        <v>15</v>
      </c>
    </row>
    <row r="7" spans="1:22" ht="15.75" customHeight="1">
      <c r="C7" s="113"/>
      <c r="D7" s="689"/>
      <c r="E7" s="446"/>
      <c r="F7" s="446"/>
      <c r="G7" s="474">
        <v>22</v>
      </c>
      <c r="I7" s="474">
        <v>1</v>
      </c>
      <c r="J7" s="689"/>
      <c r="V7" s="442">
        <v>15</v>
      </c>
    </row>
    <row r="8" spans="1:22" s="2238" customFormat="1" ht="1.1499999999999999" customHeight="1">
      <c r="A8" s="694"/>
      <c r="C8" s="113"/>
      <c r="D8" s="446"/>
      <c r="E8" s="446"/>
      <c r="F8" s="446"/>
      <c r="G8" s="474"/>
      <c r="H8" s="689"/>
      <c r="I8" s="474" t="s">
        <v>116</v>
      </c>
      <c r="J8" s="689"/>
      <c r="K8" s="354"/>
      <c r="U8" s="612"/>
      <c r="V8" s="693">
        <v>1</v>
      </c>
    </row>
    <row r="9" spans="1:22" ht="15.75" customHeight="1">
      <c r="C9" s="113"/>
      <c r="D9" s="648"/>
      <c r="E9" s="2566" t="s">
        <v>104</v>
      </c>
      <c r="F9" s="2567"/>
      <c r="G9" s="2591" t="str">
        <f>IF(G8="","",INDEX(DIFFERENTIATION_UNMERGE_VD,MATCH(G8,DIFFERENTIATION_ID_DIFF,0)))</f>
        <v/>
      </c>
      <c r="H9" s="2592"/>
      <c r="I9" s="2591" t="str">
        <f>IF(I8="","",INDEX(DIFFERENTIATION_UNMERGE_VD,MATCH(I8,DIFFERENTIATION_ID_DIFF,0)))</f>
        <v>Водоотведение</v>
      </c>
      <c r="J9" s="2592"/>
      <c r="K9" s="2411" t="s">
        <v>299</v>
      </c>
      <c r="V9" s="442">
        <v>15</v>
      </c>
    </row>
    <row r="10" spans="1:22" s="2238" customFormat="1" ht="15.75" customHeight="1">
      <c r="A10" s="694"/>
      <c r="C10" s="113"/>
      <c r="D10" s="648"/>
      <c r="E10" s="2566" t="s">
        <v>562</v>
      </c>
      <c r="F10" s="2567"/>
      <c r="G10" s="2591" t="str">
        <f>IF(G8="","",INDEX(DIFFERENTIATION_UNMERGE_AREA,MATCH(G8,DIFFERENTIATION_ID_DIFF,0)))</f>
        <v/>
      </c>
      <c r="H10" s="2592"/>
      <c r="I10" s="2591" t="str">
        <f>IF(I8="","",INDEX(DIFFERENTIATION_UNMERGE_AREA,MATCH(I8,DIFFERENTIATION_ID_DIFF,0)))</f>
        <v>Территория 1</v>
      </c>
      <c r="J10" s="2592"/>
      <c r="K10" s="2432"/>
      <c r="U10" s="612"/>
      <c r="V10" s="693">
        <v>15</v>
      </c>
    </row>
    <row r="11" spans="1:22" s="2238" customFormat="1" ht="15.75" customHeight="1">
      <c r="A11" s="694"/>
      <c r="C11" s="113"/>
      <c r="D11" s="648"/>
      <c r="E11" s="2566" t="s">
        <v>563</v>
      </c>
      <c r="F11" s="2567"/>
      <c r="G11" s="2591" t="str">
        <f>IF(G8="","",INDEX(DIFFERENTIATION_UNMERGE_SYSTEM,MATCH(G8,DIFFERENTIATION_ID_DIFF,0)))</f>
        <v/>
      </c>
      <c r="H11" s="2592"/>
      <c r="I11" s="2591" t="str">
        <f>IF(I8="","",INDEX(DIFFERENTIATION_UNMERGE_SYSTEM,MATCH(I8,DIFFERENTIATION_ID_DIFF,0)))</f>
        <v>без дифференциации</v>
      </c>
      <c r="J11" s="2592"/>
      <c r="K11" s="2432"/>
      <c r="U11" s="612"/>
      <c r="V11" s="693">
        <v>15</v>
      </c>
    </row>
    <row r="12" spans="1:22" s="2238" customFormat="1" ht="15.75" customHeight="1">
      <c r="A12" s="694"/>
      <c r="C12" s="113"/>
      <c r="D12" s="2568" t="s">
        <v>298</v>
      </c>
      <c r="E12" s="2569"/>
      <c r="F12" s="2569"/>
      <c r="G12" s="813"/>
      <c r="H12" s="813"/>
      <c r="I12" s="813"/>
      <c r="J12" s="813"/>
      <c r="K12" s="2432"/>
      <c r="U12" s="612"/>
      <c r="V12" s="693">
        <v>15</v>
      </c>
    </row>
    <row r="13" spans="1:22" ht="35.65" customHeight="1">
      <c r="C13" s="113"/>
      <c r="D13" s="736" t="s">
        <v>87</v>
      </c>
      <c r="E13" s="738" t="s">
        <v>300</v>
      </c>
      <c r="F13" s="738" t="s">
        <v>564</v>
      </c>
      <c r="G13" s="739" t="s">
        <v>301</v>
      </c>
      <c r="H13" s="738" t="s">
        <v>388</v>
      </c>
      <c r="I13" s="739" t="s">
        <v>301</v>
      </c>
      <c r="J13" s="738" t="s">
        <v>388</v>
      </c>
      <c r="K13" s="2462"/>
      <c r="V13" s="442">
        <v>34</v>
      </c>
    </row>
    <row r="14" spans="1:22" ht="15" hidden="1" customHeight="1">
      <c r="C14" s="113"/>
      <c r="D14" s="530" t="s">
        <v>108</v>
      </c>
      <c r="E14" s="530" t="s">
        <v>109</v>
      </c>
      <c r="F14" s="530" t="s">
        <v>89</v>
      </c>
      <c r="G14" s="596" t="str">
        <f>G1&amp;".1"</f>
        <v>4.1</v>
      </c>
      <c r="H14" s="596"/>
      <c r="I14" s="596" t="str">
        <f>I1&amp;".1"</f>
        <v>4.1</v>
      </c>
      <c r="J14" s="596"/>
      <c r="K14" s="226"/>
      <c r="V14" s="442">
        <v>0</v>
      </c>
    </row>
    <row r="15" spans="1:22" ht="22.5" hidden="1" customHeight="1">
      <c r="A15" s="442"/>
      <c r="C15" s="463"/>
      <c r="D15" s="458">
        <v>1</v>
      </c>
      <c r="E15" s="614" t="s">
        <v>809</v>
      </c>
      <c r="F15" s="458" t="s">
        <v>810</v>
      </c>
      <c r="G15" s="615"/>
      <c r="H15" s="615"/>
      <c r="I15" s="615"/>
      <c r="J15" s="615"/>
      <c r="K15" s="226" t="s">
        <v>811</v>
      </c>
      <c r="V15" s="442">
        <v>0</v>
      </c>
    </row>
    <row r="16" spans="1:22" ht="22.5" hidden="1" customHeight="1">
      <c r="A16" s="442"/>
      <c r="C16" s="463"/>
      <c r="D16" s="458">
        <v>2</v>
      </c>
      <c r="E16" s="216" t="s">
        <v>812</v>
      </c>
      <c r="F16" s="458" t="s">
        <v>813</v>
      </c>
      <c r="G16" s="615"/>
      <c r="H16" s="615"/>
      <c r="I16" s="615"/>
      <c r="J16" s="615"/>
      <c r="K16" s="226" t="s">
        <v>814</v>
      </c>
      <c r="V16" s="442">
        <v>0</v>
      </c>
    </row>
    <row r="17" spans="1:22" ht="123.75" hidden="1" customHeight="1">
      <c r="A17" s="442"/>
      <c r="C17" s="463"/>
      <c r="D17" s="458">
        <v>3</v>
      </c>
      <c r="E17" s="216" t="s">
        <v>1193</v>
      </c>
      <c r="F17" s="458" t="s">
        <v>304</v>
      </c>
      <c r="G17" s="615"/>
      <c r="H17" s="615"/>
      <c r="I17" s="615"/>
      <c r="J17" s="615"/>
      <c r="K17" s="226" t="s">
        <v>1194</v>
      </c>
      <c r="V17" s="442">
        <v>0</v>
      </c>
    </row>
    <row r="18" spans="1:22" ht="48.2" customHeight="1">
      <c r="A18" s="442"/>
      <c r="C18" s="463"/>
      <c r="D18" s="458">
        <v>3</v>
      </c>
      <c r="E18" s="216" t="s">
        <v>815</v>
      </c>
      <c r="F18" s="458" t="s">
        <v>304</v>
      </c>
      <c r="G18" s="740" t="s">
        <v>304</v>
      </c>
      <c r="H18" s="741" t="s">
        <v>304</v>
      </c>
      <c r="I18" s="458" t="s">
        <v>304</v>
      </c>
      <c r="J18" s="515" t="s">
        <v>304</v>
      </c>
      <c r="K18" s="226" t="s">
        <v>1195</v>
      </c>
      <c r="V18" s="442">
        <v>46</v>
      </c>
    </row>
    <row r="19" spans="1:22" ht="35.65" customHeight="1">
      <c r="A19" s="442"/>
      <c r="C19" s="463"/>
      <c r="D19" s="476" t="s">
        <v>322</v>
      </c>
      <c r="E19" s="496" t="s">
        <v>817</v>
      </c>
      <c r="F19" s="458" t="s">
        <v>818</v>
      </c>
      <c r="G19" s="748"/>
      <c r="H19" s="46"/>
      <c r="I19" s="748"/>
      <c r="J19" s="749"/>
      <c r="K19" s="616"/>
      <c r="V19" s="442">
        <v>34</v>
      </c>
    </row>
    <row r="20" spans="1:22" ht="35.65" customHeight="1">
      <c r="A20" s="442"/>
      <c r="C20" s="463"/>
      <c r="D20" s="1806" t="s">
        <v>330</v>
      </c>
      <c r="E20" s="496" t="s">
        <v>819</v>
      </c>
      <c r="F20" s="458" t="s">
        <v>820</v>
      </c>
      <c r="G20" s="748"/>
      <c r="H20" s="46"/>
      <c r="I20" s="748"/>
      <c r="J20" s="46"/>
      <c r="K20" s="616"/>
      <c r="V20" s="442">
        <v>34</v>
      </c>
    </row>
    <row r="21" spans="1:22" ht="48.2" customHeight="1">
      <c r="A21" s="442"/>
      <c r="C21" s="463"/>
      <c r="D21" s="1806" t="s">
        <v>332</v>
      </c>
      <c r="E21" s="496" t="s">
        <v>821</v>
      </c>
      <c r="F21" s="458" t="s">
        <v>569</v>
      </c>
      <c r="G21" s="617"/>
      <c r="H21" s="46"/>
      <c r="I21" s="617"/>
      <c r="J21" s="46"/>
      <c r="K21" s="616"/>
      <c r="V21" s="442">
        <v>46</v>
      </c>
    </row>
    <row r="22" spans="1:22" ht="67.5" hidden="1" customHeight="1">
      <c r="A22" s="442"/>
      <c r="C22" s="463"/>
      <c r="D22" s="458">
        <v>5</v>
      </c>
      <c r="E22" s="216" t="s">
        <v>1196</v>
      </c>
      <c r="F22" s="458" t="s">
        <v>556</v>
      </c>
      <c r="G22" s="618"/>
      <c r="H22" s="619"/>
      <c r="I22" s="618"/>
      <c r="J22" s="619"/>
      <c r="K22" s="226" t="s">
        <v>1197</v>
      </c>
      <c r="V22" s="442">
        <v>0</v>
      </c>
    </row>
    <row r="23" spans="1:22" ht="33.75" hidden="1" customHeight="1">
      <c r="C23" s="388"/>
      <c r="D23" s="458">
        <v>6</v>
      </c>
      <c r="E23" s="216" t="s">
        <v>1198</v>
      </c>
      <c r="F23" s="458" t="s">
        <v>1199</v>
      </c>
      <c r="G23" s="618"/>
      <c r="H23" s="618"/>
      <c r="I23" s="618"/>
      <c r="J23" s="618"/>
      <c r="K23" s="226" t="s">
        <v>1200</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81</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298" customWidth="1"/>
    <col min="2" max="2" width="11" style="2248" customWidth="1"/>
    <col min="3" max="3" width="9.140625" style="2248"/>
    <col min="4" max="4" width="26.5703125" style="2248" customWidth="1"/>
    <col min="5" max="5" width="36.85546875" style="2294" customWidth="1"/>
    <col min="6" max="6" width="23.5703125" style="2294" customWidth="1"/>
    <col min="7" max="7" width="31.42578125" style="2294" customWidth="1"/>
    <col min="8" max="8" width="40.85546875" style="2294" customWidth="1"/>
    <col min="9" max="9" width="14.5703125" style="2294" customWidth="1"/>
    <col min="10" max="10" width="26.85546875" style="2294" customWidth="1"/>
    <col min="11" max="11" width="50" style="2294" customWidth="1"/>
    <col min="12" max="12" width="52.42578125" style="2294" customWidth="1"/>
    <col min="13" max="13" width="10.7109375" style="2294" customWidth="1"/>
    <col min="14" max="14" width="55.140625" style="2294" customWidth="1"/>
    <col min="15" max="15" width="31.85546875" style="2294" customWidth="1"/>
    <col min="16" max="16" width="23.85546875" style="2294" customWidth="1"/>
    <col min="17" max="17" width="46.5703125" style="2294" customWidth="1"/>
    <col min="18" max="18" width="24" style="2294" customWidth="1"/>
    <col min="19" max="19" width="20.5703125" style="2294" customWidth="1"/>
    <col min="20" max="20" width="22" style="2294" customWidth="1"/>
    <col min="21" max="22" width="26.42578125" style="2294" customWidth="1"/>
    <col min="23" max="23" width="8.28515625" style="2294" hidden="1" customWidth="1"/>
    <col min="24" max="24" width="59.7109375" style="2294" customWidth="1"/>
    <col min="25" max="25" width="49.140625" style="2294" customWidth="1"/>
    <col min="26" max="26" width="11.140625" style="2294" customWidth="1"/>
    <col min="27" max="30" width="29" style="2294" customWidth="1"/>
    <col min="31" max="31" width="9.140625" style="2294"/>
    <col min="32" max="32" width="34.7109375" style="2294" customWidth="1"/>
    <col min="33" max="33" width="9.140625" style="2294"/>
    <col min="34" max="35" width="34.42578125" style="2294" customWidth="1"/>
    <col min="36" max="36" width="9.140625" style="2294"/>
    <col min="37" max="37" width="24.5703125" style="2294" customWidth="1"/>
    <col min="38" max="38" width="9.140625" style="2294"/>
    <col min="39" max="39" width="26.140625" style="2294" customWidth="1"/>
    <col min="40" max="40" width="1.7109375" style="2294" customWidth="1"/>
    <col min="41" max="41" width="9.140625" style="2294"/>
    <col min="42" max="43" width="47.85546875" style="2294" customWidth="1"/>
    <col min="44" max="44" width="1.7109375" style="2294" customWidth="1"/>
    <col min="45" max="45" width="21.42578125" style="2294" customWidth="1"/>
    <col min="46" max="46" width="1.7109375" style="2294" customWidth="1"/>
    <col min="47" max="47" width="31.28515625" style="2294" customWidth="1"/>
    <col min="48" max="48" width="1.7109375" style="2294" customWidth="1"/>
    <col min="49" max="50" width="9.140625" style="2294"/>
    <col min="51" max="51" width="3.7109375" style="2294" customWidth="1"/>
    <col min="52" max="52" width="60.85546875" style="2294" customWidth="1"/>
    <col min="53" max="53" width="49.28515625" style="2294" customWidth="1"/>
    <col min="54" max="54" width="35.140625" style="2294" customWidth="1"/>
    <col min="55" max="55" width="9.140625" style="2294"/>
    <col min="56" max="56" width="1.7109375" style="2294" customWidth="1"/>
    <col min="57" max="57" width="12.5703125" style="2299" customWidth="1"/>
    <col min="58" max="58" width="14.28515625" style="2299" customWidth="1"/>
    <col min="59" max="59" width="30.7109375" style="2294" customWidth="1"/>
    <col min="60" max="60" width="40.7109375" style="2300" customWidth="1"/>
    <col min="61" max="61" width="15" style="2300" customWidth="1"/>
    <col min="62" max="62" width="40.7109375" style="2300" customWidth="1"/>
    <col min="63" max="63" width="2.7109375" style="2300" customWidth="1"/>
    <col min="64" max="64" width="44.7109375" style="2300" customWidth="1"/>
    <col min="65" max="65" width="2.7109375" style="2300" customWidth="1"/>
    <col min="66" max="66" width="40.7109375" style="2300" customWidth="1"/>
    <col min="67" max="68" width="9.140625" style="2294"/>
    <col min="69" max="69" width="18.140625" style="2294" customWidth="1"/>
    <col min="70" max="70" width="57.85546875" style="2294" customWidth="1"/>
    <col min="71" max="71" width="1.7109375" style="2294" customWidth="1"/>
    <col min="72" max="72" width="22.5703125" style="2294" customWidth="1"/>
    <col min="73" max="73" width="57.85546875" style="2294" customWidth="1"/>
    <col min="74" max="74" width="1.7109375" style="2294" customWidth="1"/>
    <col min="75" max="75" width="22.5703125" style="2294" customWidth="1"/>
    <col min="76" max="76" width="57.85546875" style="2294" customWidth="1"/>
    <col min="77" max="77" width="1.7109375" style="2294" customWidth="1"/>
    <col min="78" max="78" width="22.5703125" style="2294" customWidth="1"/>
    <col min="79" max="79" width="57.85546875" style="2294" customWidth="1"/>
    <col min="80" max="81" width="9.140625" style="2294"/>
    <col min="82" max="82" width="49.5703125" style="2294" customWidth="1"/>
  </cols>
  <sheetData>
    <row r="1" spans="1:79" s="2297" customFormat="1" ht="11.25" customHeight="1">
      <c r="A1" s="990" t="s">
        <v>1201</v>
      </c>
      <c r="B1" s="990" t="s">
        <v>1202</v>
      </c>
      <c r="C1" s="990" t="s">
        <v>1203</v>
      </c>
      <c r="D1" s="990" t="s">
        <v>1204</v>
      </c>
      <c r="E1" s="990" t="s">
        <v>1205</v>
      </c>
      <c r="F1" s="990" t="s">
        <v>1206</v>
      </c>
      <c r="G1" s="990" t="s">
        <v>1207</v>
      </c>
      <c r="H1" s="990" t="s">
        <v>1208</v>
      </c>
      <c r="I1" s="990" t="s">
        <v>1209</v>
      </c>
      <c r="J1" s="990" t="s">
        <v>1210</v>
      </c>
      <c r="K1" s="990" t="s">
        <v>1211</v>
      </c>
      <c r="L1" s="990" t="s">
        <v>1212</v>
      </c>
      <c r="M1" s="990"/>
      <c r="N1" s="990" t="s">
        <v>1213</v>
      </c>
      <c r="O1" s="990" t="s">
        <v>1214</v>
      </c>
      <c r="P1" s="990" t="s">
        <v>1215</v>
      </c>
      <c r="Q1" s="990" t="s">
        <v>1216</v>
      </c>
      <c r="R1" s="990" t="s">
        <v>1217</v>
      </c>
      <c r="S1" s="990" t="s">
        <v>1218</v>
      </c>
      <c r="T1" s="990" t="s">
        <v>1219</v>
      </c>
      <c r="U1" s="990" t="s">
        <v>1220</v>
      </c>
      <c r="V1" s="990"/>
      <c r="W1" s="728" t="s">
        <v>1221</v>
      </c>
      <c r="X1" s="990" t="s">
        <v>1222</v>
      </c>
      <c r="Y1" s="990" t="s">
        <v>1223</v>
      </c>
      <c r="Z1" s="990"/>
      <c r="AA1" s="990" t="s">
        <v>1224</v>
      </c>
      <c r="AB1" s="990"/>
      <c r="AC1" s="990" t="s">
        <v>1225</v>
      </c>
      <c r="AD1" s="990"/>
      <c r="AF1" s="990" t="s">
        <v>1226</v>
      </c>
      <c r="AH1" s="990" t="s">
        <v>1227</v>
      </c>
      <c r="AI1" s="990" t="s">
        <v>1228</v>
      </c>
      <c r="AK1" s="990" t="s">
        <v>1229</v>
      </c>
      <c r="AM1" s="990" t="s">
        <v>1230</v>
      </c>
      <c r="AP1" s="990" t="s">
        <v>1231</v>
      </c>
      <c r="AQ1" s="990" t="s">
        <v>1232</v>
      </c>
      <c r="AS1" s="990" t="s">
        <v>1233</v>
      </c>
      <c r="AU1" s="990" t="s">
        <v>1234</v>
      </c>
      <c r="AW1" s="990" t="s">
        <v>1235</v>
      </c>
      <c r="AX1" s="990" t="s">
        <v>1236</v>
      </c>
      <c r="AZ1" s="1071" t="s">
        <v>1237</v>
      </c>
      <c r="BB1" s="990" t="s">
        <v>1238</v>
      </c>
      <c r="BC1" s="990"/>
      <c r="BE1" s="990" t="s">
        <v>1239</v>
      </c>
      <c r="BF1" s="990" t="s">
        <v>1240</v>
      </c>
      <c r="BH1" s="992" t="s">
        <v>808</v>
      </c>
      <c r="BI1" s="993"/>
      <c r="BJ1" s="994" t="s">
        <v>1241</v>
      </c>
      <c r="BK1" s="993"/>
      <c r="BL1" s="995" t="s">
        <v>907</v>
      </c>
      <c r="BM1" s="993"/>
      <c r="BN1" s="996" t="s">
        <v>1242</v>
      </c>
      <c r="BS1" s="1346"/>
    </row>
    <row r="2" spans="1:79" ht="11.25" customHeight="1">
      <c r="A2" s="997" t="s">
        <v>1243</v>
      </c>
      <c r="B2" s="998">
        <v>2000</v>
      </c>
      <c r="C2" s="998">
        <v>2022</v>
      </c>
      <c r="D2" s="998" t="s">
        <v>64</v>
      </c>
      <c r="E2" s="999" t="s">
        <v>1244</v>
      </c>
      <c r="F2" s="999" t="s">
        <v>1245</v>
      </c>
      <c r="G2" s="999" t="s">
        <v>1246</v>
      </c>
      <c r="H2" s="1000" t="s">
        <v>53</v>
      </c>
      <c r="I2" s="999" t="s">
        <v>108</v>
      </c>
      <c r="J2" s="999" t="s">
        <v>1247</v>
      </c>
      <c r="K2" s="1001" t="s">
        <v>1248</v>
      </c>
      <c r="L2" s="1002"/>
      <c r="M2" s="1001">
        <v>1</v>
      </c>
      <c r="N2" s="1081" t="s">
        <v>1249</v>
      </c>
      <c r="O2" s="1000" t="s">
        <v>1250</v>
      </c>
      <c r="P2" s="1003" t="s">
        <v>37</v>
      </c>
      <c r="Q2" s="1004" t="s">
        <v>1251</v>
      </c>
      <c r="R2" s="82" t="s">
        <v>1252</v>
      </c>
      <c r="S2" s="82" t="s">
        <v>1253</v>
      </c>
      <c r="T2" s="1005" t="s">
        <v>1254</v>
      </c>
      <c r="U2" s="1002" t="s">
        <v>1255</v>
      </c>
      <c r="V2" s="1006">
        <v>1</v>
      </c>
      <c r="W2" s="1007"/>
      <c r="X2" s="1007" t="s">
        <v>1256</v>
      </c>
      <c r="Y2" s="998" t="s">
        <v>1257</v>
      </c>
      <c r="Z2" s="1008"/>
      <c r="AA2" s="998" t="s">
        <v>1258</v>
      </c>
      <c r="AB2" s="1009" t="s">
        <v>1258</v>
      </c>
      <c r="AC2" s="998" t="s">
        <v>1259</v>
      </c>
      <c r="AD2" s="1009" t="s">
        <v>1259</v>
      </c>
      <c r="AF2" s="1000" t="s">
        <v>1255</v>
      </c>
      <c r="AH2" s="999" t="s">
        <v>1260</v>
      </c>
      <c r="AI2" s="999" t="s">
        <v>1260</v>
      </c>
      <c r="AK2" s="999" t="s">
        <v>1261</v>
      </c>
      <c r="AM2" s="999" t="s">
        <v>1262</v>
      </c>
      <c r="AP2" s="1010" t="s">
        <v>1256</v>
      </c>
      <c r="AQ2" s="1011" t="s">
        <v>1256</v>
      </c>
      <c r="AS2" s="998" t="s">
        <v>1263</v>
      </c>
      <c r="AU2" s="1040" t="s">
        <v>1264</v>
      </c>
      <c r="AW2" s="1040" t="s">
        <v>1265</v>
      </c>
      <c r="AX2" s="1040" t="s">
        <v>1265</v>
      </c>
      <c r="AZ2" s="1040" t="s">
        <v>1266</v>
      </c>
      <c r="BB2" s="1040" t="s">
        <v>1267</v>
      </c>
      <c r="BC2" s="1040" t="s">
        <v>1268</v>
      </c>
      <c r="BE2" s="1040">
        <v>2000</v>
      </c>
      <c r="BF2" s="1040" t="s">
        <v>1269</v>
      </c>
    </row>
    <row r="3" spans="1:79" ht="11.25" customHeight="1">
      <c r="A3" s="997" t="s">
        <v>1270</v>
      </c>
      <c r="B3" s="998">
        <v>2001</v>
      </c>
      <c r="C3" s="998">
        <v>2023</v>
      </c>
      <c r="D3" s="998" t="s">
        <v>19</v>
      </c>
      <c r="E3" s="999" t="s">
        <v>1271</v>
      </c>
      <c r="F3" s="999" t="s">
        <v>1272</v>
      </c>
      <c r="G3" s="999" t="s">
        <v>1273</v>
      </c>
      <c r="H3" s="1000" t="s">
        <v>1274</v>
      </c>
      <c r="I3" s="999" t="s">
        <v>109</v>
      </c>
      <c r="J3" s="999" t="s">
        <v>554</v>
      </c>
      <c r="K3" s="1001" t="s">
        <v>1275</v>
      </c>
      <c r="L3" s="1002">
        <f>IFERROR(MATCH(K3,OFFER_METHOD,0),0)</f>
        <v>0</v>
      </c>
      <c r="M3" s="1001">
        <v>2</v>
      </c>
      <c r="N3" s="1081" t="s">
        <v>1276</v>
      </c>
      <c r="O3" s="1000" t="s">
        <v>1277</v>
      </c>
      <c r="P3" s="1003" t="s">
        <v>1278</v>
      </c>
      <c r="Q3" s="1004" t="s">
        <v>1279</v>
      </c>
      <c r="R3" s="82" t="s">
        <v>1280</v>
      </c>
      <c r="S3" s="82" t="s">
        <v>1281</v>
      </c>
      <c r="T3" s="1005" t="s">
        <v>1282</v>
      </c>
      <c r="U3" s="1002" t="s">
        <v>1283</v>
      </c>
      <c r="V3" s="1006">
        <v>2</v>
      </c>
      <c r="W3" s="1007"/>
      <c r="X3" s="1007" t="s">
        <v>1284</v>
      </c>
      <c r="Y3" s="998" t="s">
        <v>1257</v>
      </c>
      <c r="Z3" s="1008"/>
      <c r="AA3" s="998" t="s">
        <v>1285</v>
      </c>
      <c r="AB3" s="1009" t="s">
        <v>1285</v>
      </c>
      <c r="AC3" s="998" t="s">
        <v>1286</v>
      </c>
      <c r="AD3" s="1009" t="s">
        <v>1286</v>
      </c>
      <c r="AF3" s="1000" t="s">
        <v>1283</v>
      </c>
      <c r="AH3" s="999" t="s">
        <v>1287</v>
      </c>
      <c r="AI3" s="999" t="s">
        <v>1288</v>
      </c>
      <c r="AK3" s="999" t="s">
        <v>1289</v>
      </c>
      <c r="AM3" s="999" t="s">
        <v>1290</v>
      </c>
      <c r="AP3" s="1010" t="s">
        <v>1291</v>
      </c>
      <c r="AQ3" s="1011" t="s">
        <v>1291</v>
      </c>
      <c r="AS3" s="998" t="s">
        <v>1292</v>
      </c>
      <c r="AU3" s="1040" t="s">
        <v>1293</v>
      </c>
      <c r="AW3" s="1040" t="s">
        <v>1294</v>
      </c>
      <c r="AX3" s="1040" t="s">
        <v>1294</v>
      </c>
      <c r="AZ3" s="1040" t="s">
        <v>1295</v>
      </c>
      <c r="BB3" s="1040" t="s">
        <v>1296</v>
      </c>
      <c r="BC3" s="1040" t="s">
        <v>1268</v>
      </c>
      <c r="BE3" s="1040">
        <v>2001</v>
      </c>
      <c r="BF3" s="1040" t="s">
        <v>1297</v>
      </c>
      <c r="BH3" s="990" t="s">
        <v>1298</v>
      </c>
      <c r="BJ3" s="990" t="s">
        <v>1299</v>
      </c>
      <c r="BL3" s="990" t="s">
        <v>1300</v>
      </c>
      <c r="BN3" s="990" t="s">
        <v>1301</v>
      </c>
      <c r="BR3" s="990" t="s">
        <v>1302</v>
      </c>
      <c r="BS3" s="1347"/>
      <c r="BT3" s="993"/>
      <c r="BU3" s="990" t="s">
        <v>1303</v>
      </c>
      <c r="BV3" s="993"/>
      <c r="BW3" s="1609"/>
      <c r="BX3" s="1611" t="s">
        <v>1304</v>
      </c>
      <c r="CA3" s="990" t="s">
        <v>1305</v>
      </c>
    </row>
    <row r="4" spans="1:79" ht="11.25" customHeight="1">
      <c r="A4" s="997" t="s">
        <v>1306</v>
      </c>
      <c r="B4" s="998">
        <v>2002</v>
      </c>
      <c r="C4" s="998">
        <v>2024</v>
      </c>
      <c r="E4" s="999" t="s">
        <v>1307</v>
      </c>
      <c r="F4" s="999" t="s">
        <v>1308</v>
      </c>
      <c r="H4" s="1000" t="s">
        <v>1309</v>
      </c>
      <c r="I4" s="999" t="s">
        <v>89</v>
      </c>
      <c r="J4" s="999" t="s">
        <v>1310</v>
      </c>
      <c r="K4" s="1001" t="s">
        <v>1311</v>
      </c>
      <c r="L4" s="1002">
        <f>IFERROR(MATCH(K4,OFFER_METHOD,0),0)</f>
        <v>0</v>
      </c>
      <c r="M4" s="1001">
        <v>3</v>
      </c>
      <c r="N4" s="1081" t="s">
        <v>1312</v>
      </c>
      <c r="O4" s="999" t="s">
        <v>1313</v>
      </c>
      <c r="Q4" s="1004" t="s">
        <v>1314</v>
      </c>
      <c r="R4" s="82" t="s">
        <v>1315</v>
      </c>
      <c r="S4" s="82" t="s">
        <v>1316</v>
      </c>
      <c r="T4" s="1005" t="s">
        <v>1317</v>
      </c>
      <c r="U4" s="1002" t="s">
        <v>1318</v>
      </c>
      <c r="V4" s="1006">
        <v>3</v>
      </c>
      <c r="W4" s="1007"/>
      <c r="X4" s="1007" t="s">
        <v>1319</v>
      </c>
      <c r="Y4" s="998" t="s">
        <v>1257</v>
      </c>
      <c r="Z4" s="1013"/>
      <c r="AC4" s="998" t="s">
        <v>1320</v>
      </c>
      <c r="AD4" s="1009" t="s">
        <v>1320</v>
      </c>
      <c r="AF4" s="1000" t="s">
        <v>1318</v>
      </c>
      <c r="AH4" s="1000" t="s">
        <v>1321</v>
      </c>
      <c r="AK4" s="999" t="s">
        <v>1322</v>
      </c>
      <c r="AM4" s="999" t="s">
        <v>1323</v>
      </c>
      <c r="AP4" s="1010" t="s">
        <v>1284</v>
      </c>
      <c r="AQ4" s="1011" t="s">
        <v>1284</v>
      </c>
      <c r="AS4" s="998" t="s">
        <v>1324</v>
      </c>
      <c r="AU4" s="1040" t="s">
        <v>1325</v>
      </c>
      <c r="AW4" s="1040" t="s">
        <v>1326</v>
      </c>
      <c r="AX4" s="1040" t="s">
        <v>1326</v>
      </c>
      <c r="AZ4" s="1040" t="s">
        <v>1327</v>
      </c>
      <c r="BB4" s="1040" t="s">
        <v>1328</v>
      </c>
      <c r="BC4" s="1040" t="s">
        <v>1329</v>
      </c>
      <c r="BE4" s="1040">
        <v>2002</v>
      </c>
      <c r="BF4" s="1040" t="s">
        <v>1330</v>
      </c>
      <c r="BH4" s="991" t="s">
        <v>1331</v>
      </c>
      <c r="BJ4" s="991" t="s">
        <v>1331</v>
      </c>
      <c r="BL4" s="991" t="s">
        <v>1331</v>
      </c>
      <c r="BN4" s="991" t="s">
        <v>1331</v>
      </c>
      <c r="BQ4" s="1351" t="s">
        <v>1332</v>
      </c>
      <c r="BR4" s="1078" t="s">
        <v>1333</v>
      </c>
      <c r="BS4" s="211"/>
      <c r="BT4" s="1351" t="s">
        <v>1334</v>
      </c>
      <c r="BU4" s="1078" t="s">
        <v>1335</v>
      </c>
      <c r="BV4" s="993"/>
      <c r="BW4" s="1616" t="s">
        <v>1336</v>
      </c>
      <c r="BX4" s="1610" t="s">
        <v>1337</v>
      </c>
      <c r="BZ4" s="1351" t="s">
        <v>1338</v>
      </c>
      <c r="CA4" s="1078" t="s">
        <v>1339</v>
      </c>
    </row>
    <row r="5" spans="1:79" ht="11.25" customHeight="1">
      <c r="A5" s="997" t="s">
        <v>1340</v>
      </c>
      <c r="B5" s="998">
        <v>2003</v>
      </c>
      <c r="C5" s="998">
        <v>2025</v>
      </c>
      <c r="E5" s="999" t="s">
        <v>1341</v>
      </c>
      <c r="F5" s="999" t="s">
        <v>1342</v>
      </c>
      <c r="H5" s="1000" t="s">
        <v>1343</v>
      </c>
      <c r="I5" s="999" t="s">
        <v>90</v>
      </c>
      <c r="K5" s="1001" t="s">
        <v>1344</v>
      </c>
      <c r="L5" s="1002">
        <f>IFERROR(MATCH(K5,OFFER_METHOD,0),0)</f>
        <v>0</v>
      </c>
      <c r="M5" s="1001">
        <v>4</v>
      </c>
      <c r="N5" s="1014" t="s">
        <v>1345</v>
      </c>
      <c r="O5" s="999" t="s">
        <v>1346</v>
      </c>
      <c r="Q5" s="1004" t="s">
        <v>1347</v>
      </c>
      <c r="R5" s="82" t="s">
        <v>1348</v>
      </c>
      <c r="T5" s="1000" t="s">
        <v>1349</v>
      </c>
      <c r="U5" s="1002" t="s">
        <v>1350</v>
      </c>
      <c r="V5" s="1006">
        <v>4</v>
      </c>
      <c r="W5" s="1007"/>
      <c r="X5" s="1007" t="s">
        <v>166</v>
      </c>
      <c r="Y5" s="998" t="s">
        <v>1351</v>
      </c>
      <c r="Z5" s="1013">
        <v>1</v>
      </c>
      <c r="AF5" s="1000" t="s">
        <v>1352</v>
      </c>
      <c r="AH5" s="999" t="s">
        <v>1353</v>
      </c>
      <c r="AK5" s="999" t="s">
        <v>1354</v>
      </c>
      <c r="AM5" s="999" t="s">
        <v>1355</v>
      </c>
      <c r="AP5" s="1010" t="s">
        <v>166</v>
      </c>
      <c r="AQ5" s="1011" t="s">
        <v>166</v>
      </c>
      <c r="AU5" s="1040" t="s">
        <v>1356</v>
      </c>
      <c r="AW5" s="1040" t="s">
        <v>1357</v>
      </c>
      <c r="AX5" s="1040" t="s">
        <v>1357</v>
      </c>
      <c r="AZ5" s="1040" t="s">
        <v>1358</v>
      </c>
      <c r="BB5" s="1040" t="s">
        <v>1359</v>
      </c>
      <c r="BC5" s="1040" t="s">
        <v>1360</v>
      </c>
      <c r="BE5" s="1040">
        <v>2003</v>
      </c>
      <c r="BF5" s="1040" t="s">
        <v>1361</v>
      </c>
      <c r="BH5" s="991" t="s">
        <v>1362</v>
      </c>
      <c r="BJ5" s="991" t="s">
        <v>1362</v>
      </c>
      <c r="BL5" s="991" t="s">
        <v>1362</v>
      </c>
      <c r="BN5" s="991" t="s">
        <v>1363</v>
      </c>
      <c r="BQ5" s="1200">
        <v>4213775</v>
      </c>
      <c r="BR5" s="991" t="s">
        <v>1256</v>
      </c>
      <c r="BS5" s="1348"/>
      <c r="BT5" s="1200">
        <v>64236871</v>
      </c>
      <c r="BU5" s="991" t="s">
        <v>227</v>
      </c>
      <c r="BV5" s="993"/>
      <c r="BW5" s="1614">
        <v>4213767</v>
      </c>
      <c r="BX5" s="1612" t="s">
        <v>1364</v>
      </c>
      <c r="BZ5" s="1200">
        <v>64237509</v>
      </c>
      <c r="CA5" s="1214" t="s">
        <v>1365</v>
      </c>
    </row>
    <row r="6" spans="1:79" ht="11.25" customHeight="1">
      <c r="A6" s="997" t="s">
        <v>1366</v>
      </c>
      <c r="B6" s="998">
        <v>2004</v>
      </c>
      <c r="C6" s="998">
        <v>2026</v>
      </c>
      <c r="E6" s="999" t="s">
        <v>1367</v>
      </c>
      <c r="F6" s="1015"/>
      <c r="H6" s="1000" t="s">
        <v>1368</v>
      </c>
      <c r="I6" s="999" t="s">
        <v>110</v>
      </c>
      <c r="J6" s="990" t="s">
        <v>1369</v>
      </c>
      <c r="L6" s="1002">
        <f>SUM(kind_of_control_method_filter)</f>
        <v>0</v>
      </c>
      <c r="N6" s="1014" t="s">
        <v>1370</v>
      </c>
      <c r="O6" s="999" t="s">
        <v>1371</v>
      </c>
      <c r="R6" s="82" t="s">
        <v>1251</v>
      </c>
      <c r="T6" s="1000" t="s">
        <v>1372</v>
      </c>
      <c r="U6" s="1002" t="s">
        <v>1352</v>
      </c>
      <c r="V6" s="1006">
        <v>5</v>
      </c>
      <c r="W6" s="1007"/>
      <c r="X6" s="998" t="s">
        <v>172</v>
      </c>
      <c r="Y6" s="998" t="s">
        <v>1373</v>
      </c>
      <c r="Z6" s="1013"/>
      <c r="AA6" s="1016"/>
      <c r="AH6" s="999" t="s">
        <v>1374</v>
      </c>
      <c r="AK6" s="999" t="s">
        <v>1375</v>
      </c>
      <c r="AM6" s="999" t="s">
        <v>1376</v>
      </c>
      <c r="AP6" s="1010" t="s">
        <v>172</v>
      </c>
      <c r="AQ6" s="1011" t="s">
        <v>172</v>
      </c>
      <c r="AU6" s="1040" t="s">
        <v>1377</v>
      </c>
      <c r="AW6" s="1040" t="s">
        <v>1378</v>
      </c>
      <c r="AX6" s="1040" t="s">
        <v>1378</v>
      </c>
      <c r="BB6" s="1040" t="s">
        <v>1379</v>
      </c>
      <c r="BC6" s="1040" t="s">
        <v>1360</v>
      </c>
      <c r="BE6" s="1040">
        <v>2004</v>
      </c>
      <c r="BF6" s="1040" t="s">
        <v>1380</v>
      </c>
      <c r="BH6" s="991" t="s">
        <v>1381</v>
      </c>
      <c r="BJ6" s="991" t="s">
        <v>1382</v>
      </c>
      <c r="BL6" s="991" t="s">
        <v>1382</v>
      </c>
      <c r="BN6" s="991" t="s">
        <v>1383</v>
      </c>
      <c r="BQ6" s="1200">
        <v>4213784</v>
      </c>
      <c r="BR6" s="1214" t="s">
        <v>1291</v>
      </c>
      <c r="BS6" s="1349"/>
      <c r="BT6" s="1200">
        <v>64236872</v>
      </c>
      <c r="BU6" s="991" t="s">
        <v>232</v>
      </c>
      <c r="BV6" s="993"/>
      <c r="BW6" s="1614">
        <v>4213768</v>
      </c>
      <c r="BX6" s="1612" t="s">
        <v>252</v>
      </c>
      <c r="BZ6" s="1200">
        <v>64237510</v>
      </c>
      <c r="CA6" s="991" t="s">
        <v>1384</v>
      </c>
    </row>
    <row r="7" spans="1:79" ht="11.25" customHeight="1">
      <c r="A7" s="997" t="s">
        <v>1385</v>
      </c>
      <c r="B7" s="998">
        <v>2005</v>
      </c>
      <c r="E7" s="999" t="s">
        <v>1386</v>
      </c>
      <c r="F7" s="1015"/>
      <c r="H7" s="1000" t="s">
        <v>1387</v>
      </c>
      <c r="I7" s="999" t="s">
        <v>91</v>
      </c>
      <c r="J7" s="999" t="s">
        <v>1388</v>
      </c>
      <c r="N7" s="1018" t="s">
        <v>1389</v>
      </c>
      <c r="O7" s="999" t="s">
        <v>1390</v>
      </c>
      <c r="U7" s="1002" t="s">
        <v>19</v>
      </c>
      <c r="V7" s="307" t="s">
        <v>91</v>
      </c>
      <c r="W7" s="1007"/>
      <c r="X7" s="998" t="s">
        <v>178</v>
      </c>
      <c r="Y7" s="998" t="s">
        <v>1351</v>
      </c>
      <c r="Z7" s="1013"/>
      <c r="AA7" s="1016"/>
      <c r="AH7" s="999" t="s">
        <v>1391</v>
      </c>
      <c r="AK7" s="999" t="s">
        <v>1392</v>
      </c>
      <c r="AM7" s="999" t="s">
        <v>1393</v>
      </c>
      <c r="AP7" s="1010" t="s">
        <v>178</v>
      </c>
      <c r="AQ7" s="1011" t="s">
        <v>178</v>
      </c>
      <c r="AU7" s="1040" t="s">
        <v>1394</v>
      </c>
      <c r="AW7" s="1040" t="s">
        <v>1395</v>
      </c>
      <c r="AX7" s="1040" t="s">
        <v>1395</v>
      </c>
      <c r="AZ7" s="990" t="s">
        <v>1396</v>
      </c>
      <c r="BB7" s="1040" t="s">
        <v>1397</v>
      </c>
      <c r="BC7" s="1040" t="s">
        <v>1360</v>
      </c>
      <c r="BE7" s="1040">
        <v>2005</v>
      </c>
      <c r="BF7" s="1040" t="s">
        <v>1398</v>
      </c>
      <c r="BH7" s="991" t="s">
        <v>1399</v>
      </c>
      <c r="BJ7" s="991" t="s">
        <v>1381</v>
      </c>
      <c r="BL7" s="991" t="s">
        <v>1381</v>
      </c>
      <c r="BN7" s="991" t="s">
        <v>1400</v>
      </c>
      <c r="BQ7" s="1200">
        <v>4213781</v>
      </c>
      <c r="BR7" s="991" t="s">
        <v>1284</v>
      </c>
      <c r="BS7" s="1348"/>
      <c r="BT7" s="1200">
        <v>64236873</v>
      </c>
      <c r="BU7" s="991" t="s">
        <v>237</v>
      </c>
      <c r="BV7" s="993"/>
      <c r="BW7" s="1614">
        <v>4213769</v>
      </c>
      <c r="BX7" s="1612" t="s">
        <v>1401</v>
      </c>
      <c r="BZ7" s="1200">
        <v>64237511</v>
      </c>
      <c r="CA7" s="991" t="s">
        <v>267</v>
      </c>
    </row>
    <row r="8" spans="1:79" ht="11.25" customHeight="1">
      <c r="A8" s="997" t="s">
        <v>1402</v>
      </c>
      <c r="B8" s="998">
        <v>2006</v>
      </c>
      <c r="E8" s="999" t="s">
        <v>1403</v>
      </c>
      <c r="F8" s="1015"/>
      <c r="H8" s="1000" t="s">
        <v>1404</v>
      </c>
      <c r="I8" s="999" t="s">
        <v>92</v>
      </c>
      <c r="J8" s="999" t="s">
        <v>1405</v>
      </c>
      <c r="N8" s="1082" t="s">
        <v>1406</v>
      </c>
      <c r="O8" s="999" t="s">
        <v>1407</v>
      </c>
      <c r="V8" s="307" t="s">
        <v>92</v>
      </c>
      <c r="W8" s="1007"/>
      <c r="X8" s="998" t="s">
        <v>184</v>
      </c>
      <c r="Y8" s="998" t="s">
        <v>1351</v>
      </c>
      <c r="Z8" s="1013"/>
      <c r="AA8" s="1016"/>
      <c r="AK8" s="999" t="s">
        <v>1408</v>
      </c>
      <c r="AP8" s="1010" t="s">
        <v>184</v>
      </c>
      <c r="AQ8" s="1011" t="s">
        <v>184</v>
      </c>
      <c r="AU8" s="1040" t="s">
        <v>1409</v>
      </c>
      <c r="AW8" s="1040" t="s">
        <v>1410</v>
      </c>
      <c r="AX8" s="1040" t="s">
        <v>1410</v>
      </c>
      <c r="AZ8" s="1040" t="s">
        <v>1411</v>
      </c>
      <c r="BB8" s="1040" t="s">
        <v>1412</v>
      </c>
      <c r="BC8" s="1040" t="s">
        <v>1360</v>
      </c>
      <c r="BE8" s="1040">
        <v>2006</v>
      </c>
      <c r="BF8" s="1040" t="s">
        <v>1413</v>
      </c>
      <c r="BH8" s="991" t="s">
        <v>1414</v>
      </c>
      <c r="BJ8" s="991" t="s">
        <v>1415</v>
      </c>
      <c r="BL8" s="991" t="s">
        <v>1415</v>
      </c>
      <c r="BN8" s="991" t="s">
        <v>1416</v>
      </c>
      <c r="BQ8" s="1200">
        <v>4213776</v>
      </c>
      <c r="BR8" s="991" t="s">
        <v>166</v>
      </c>
      <c r="BS8" s="1348"/>
      <c r="BT8" s="1200">
        <v>64236874</v>
      </c>
      <c r="BU8" s="1214" t="s">
        <v>1417</v>
      </c>
      <c r="BV8" s="993"/>
      <c r="BW8" s="1614">
        <v>4213770</v>
      </c>
      <c r="BX8" s="1615" t="s">
        <v>1418</v>
      </c>
      <c r="BZ8" s="1200">
        <v>64237512</v>
      </c>
      <c r="CA8" s="991" t="s">
        <v>262</v>
      </c>
    </row>
    <row r="9" spans="1:79" ht="11.25" customHeight="1">
      <c r="A9" s="997" t="s">
        <v>1419</v>
      </c>
      <c r="B9" s="998">
        <v>2007</v>
      </c>
      <c r="E9" s="999" t="s">
        <v>1420</v>
      </c>
      <c r="F9" s="1015"/>
      <c r="G9" s="990" t="s">
        <v>1421</v>
      </c>
      <c r="H9" s="990" t="s">
        <v>1422</v>
      </c>
      <c r="I9" s="999" t="s">
        <v>111</v>
      </c>
      <c r="O9" s="999" t="s">
        <v>1423</v>
      </c>
      <c r="V9" s="307" t="s">
        <v>111</v>
      </c>
      <c r="W9" s="1007"/>
      <c r="X9" s="998" t="s">
        <v>190</v>
      </c>
      <c r="Y9" s="998" t="s">
        <v>1257</v>
      </c>
      <c r="Z9" s="1013">
        <v>1</v>
      </c>
      <c r="AA9" s="1016"/>
      <c r="AK9" s="999" t="s">
        <v>1424</v>
      </c>
      <c r="AP9" s="1010" t="s">
        <v>1425</v>
      </c>
      <c r="AQ9" s="1011" t="s">
        <v>1425</v>
      </c>
      <c r="AW9" s="1040" t="s">
        <v>1426</v>
      </c>
      <c r="AX9" s="1040" t="s">
        <v>1426</v>
      </c>
      <c r="AZ9" s="1040" t="s">
        <v>66</v>
      </c>
      <c r="BB9" s="1040" t="s">
        <v>1427</v>
      </c>
      <c r="BC9" s="1040" t="s">
        <v>1360</v>
      </c>
      <c r="BE9" s="1040">
        <v>2007</v>
      </c>
      <c r="BF9" s="1040" t="s">
        <v>1037</v>
      </c>
      <c r="BH9" s="991" t="s">
        <v>1428</v>
      </c>
      <c r="BJ9" s="991" t="s">
        <v>1429</v>
      </c>
      <c r="BL9" s="991" t="s">
        <v>1429</v>
      </c>
      <c r="BN9" s="991" t="s">
        <v>1430</v>
      </c>
      <c r="BQ9" s="1200">
        <v>4213777</v>
      </c>
      <c r="BR9" s="991" t="s">
        <v>172</v>
      </c>
      <c r="BS9" s="1348"/>
      <c r="BT9" s="1200">
        <v>64236875</v>
      </c>
      <c r="BU9" s="991" t="s">
        <v>242</v>
      </c>
      <c r="BV9" s="993"/>
      <c r="BW9" s="1609"/>
      <c r="BX9" s="1609"/>
    </row>
    <row r="10" spans="1:79" ht="11.25" customHeight="1">
      <c r="A10" s="997" t="s">
        <v>1431</v>
      </c>
      <c r="B10" s="998">
        <v>2008</v>
      </c>
      <c r="E10" s="999" t="s">
        <v>1432</v>
      </c>
      <c r="F10" s="1015"/>
      <c r="G10" s="999" t="s">
        <v>1433</v>
      </c>
      <c r="H10" s="999" t="s">
        <v>1434</v>
      </c>
      <c r="I10" s="999" t="s">
        <v>148</v>
      </c>
      <c r="J10" s="990" t="s">
        <v>1435</v>
      </c>
      <c r="K10" s="990" t="s">
        <v>1436</v>
      </c>
      <c r="O10" s="999" t="s">
        <v>1437</v>
      </c>
      <c r="V10" s="308" t="s">
        <v>148</v>
      </c>
      <c r="W10" s="1019"/>
      <c r="X10" s="1019" t="s">
        <v>1438</v>
      </c>
      <c r="Y10" s="1020" t="s">
        <v>1439</v>
      </c>
      <c r="Z10" s="1013"/>
      <c r="AP10" s="1010" t="s">
        <v>1438</v>
      </c>
      <c r="AQ10" s="1011" t="s">
        <v>1438</v>
      </c>
      <c r="AW10" s="1040" t="s">
        <v>1440</v>
      </c>
      <c r="AX10" s="1040" t="s">
        <v>1440</v>
      </c>
      <c r="AZ10" s="1040" t="s">
        <v>1149</v>
      </c>
      <c r="BB10" s="1040" t="s">
        <v>1441</v>
      </c>
      <c r="BC10" s="1040" t="s">
        <v>1360</v>
      </c>
      <c r="BE10" s="1040">
        <v>2008</v>
      </c>
      <c r="BF10" s="1040" t="s">
        <v>1045</v>
      </c>
      <c r="BH10" s="991" t="s">
        <v>1442</v>
      </c>
      <c r="BJ10" s="991" t="s">
        <v>1038</v>
      </c>
      <c r="BL10" s="991" t="s">
        <v>1038</v>
      </c>
      <c r="BN10" s="991" t="s">
        <v>1443</v>
      </c>
      <c r="BQ10" s="1200">
        <v>4213778</v>
      </c>
      <c r="BR10" s="991" t="s">
        <v>178</v>
      </c>
      <c r="BS10" s="1348"/>
      <c r="BT10" s="1200">
        <v>64236876</v>
      </c>
      <c r="BU10" s="991" t="s">
        <v>222</v>
      </c>
      <c r="BV10" s="993"/>
      <c r="BW10" s="1609"/>
      <c r="BX10" s="1609"/>
    </row>
    <row r="11" spans="1:79" ht="11.25" customHeight="1">
      <c r="A11" s="997" t="s">
        <v>1444</v>
      </c>
      <c r="B11" s="998">
        <v>2009</v>
      </c>
      <c r="E11" s="999" t="s">
        <v>1445</v>
      </c>
      <c r="F11" s="1015"/>
      <c r="G11" s="999" t="s">
        <v>1446</v>
      </c>
      <c r="H11" s="999" t="s">
        <v>1447</v>
      </c>
      <c r="I11" s="999" t="s">
        <v>149</v>
      </c>
      <c r="J11" s="1000" t="s">
        <v>1448</v>
      </c>
      <c r="K11" s="1021" t="s">
        <v>1449</v>
      </c>
      <c r="O11" s="1000" t="s">
        <v>1450</v>
      </c>
      <c r="V11" s="307" t="s">
        <v>149</v>
      </c>
      <c r="W11" s="212"/>
      <c r="X11" s="1007" t="s">
        <v>1425</v>
      </c>
      <c r="Y11" s="998" t="s">
        <v>1451</v>
      </c>
      <c r="Z11" s="1013"/>
      <c r="AP11" s="1010" t="s">
        <v>190</v>
      </c>
      <c r="AQ11" s="1012" t="s">
        <v>190</v>
      </c>
      <c r="AW11" s="1040" t="s">
        <v>1452</v>
      </c>
      <c r="AX11" s="1040" t="s">
        <v>1452</v>
      </c>
      <c r="AZ11" s="1040" t="s">
        <v>1453</v>
      </c>
      <c r="BB11" s="1040" t="s">
        <v>1454</v>
      </c>
      <c r="BC11" s="1040" t="s">
        <v>1360</v>
      </c>
      <c r="BE11" s="1040">
        <v>2009</v>
      </c>
      <c r="BF11" s="1040" t="s">
        <v>1455</v>
      </c>
      <c r="BH11" s="991" t="s">
        <v>1456</v>
      </c>
      <c r="BJ11" s="991" t="s">
        <v>1428</v>
      </c>
      <c r="BL11" s="991" t="s">
        <v>1428</v>
      </c>
      <c r="BN11" s="991" t="s">
        <v>1457</v>
      </c>
      <c r="BQ11" s="1200">
        <v>4213780</v>
      </c>
      <c r="BR11" s="991" t="s">
        <v>184</v>
      </c>
      <c r="BS11" s="1348"/>
      <c r="BW11" s="1609"/>
      <c r="BX11" s="1609"/>
    </row>
    <row r="12" spans="1:79" ht="11.25" customHeight="1">
      <c r="A12" s="997" t="s">
        <v>1458</v>
      </c>
      <c r="B12" s="998">
        <v>2010</v>
      </c>
      <c r="E12" s="999" t="s">
        <v>1459</v>
      </c>
      <c r="F12" s="1015"/>
      <c r="G12" s="999" t="s">
        <v>1447</v>
      </c>
      <c r="I12" s="999" t="s">
        <v>150</v>
      </c>
      <c r="J12" s="1000" t="s">
        <v>1460</v>
      </c>
      <c r="K12" s="1021" t="s">
        <v>1461</v>
      </c>
      <c r="O12" s="1000" t="s">
        <v>1251</v>
      </c>
      <c r="V12" s="307" t="s">
        <v>150</v>
      </c>
      <c r="W12" s="1012"/>
      <c r="X12" s="1007" t="s">
        <v>1462</v>
      </c>
      <c r="Y12" s="998" t="s">
        <v>1257</v>
      </c>
      <c r="AP12" s="1010"/>
      <c r="AW12" s="1040" t="s">
        <v>149</v>
      </c>
      <c r="AX12" s="1040" t="s">
        <v>149</v>
      </c>
      <c r="AZ12" s="1040" t="s">
        <v>1463</v>
      </c>
      <c r="BB12" s="1040" t="s">
        <v>1464</v>
      </c>
      <c r="BC12" s="1040" t="s">
        <v>1360</v>
      </c>
      <c r="BE12" s="1040">
        <v>2010</v>
      </c>
      <c r="BF12" s="1040" t="s">
        <v>1465</v>
      </c>
      <c r="BH12" s="991" t="s">
        <v>1466</v>
      </c>
      <c r="BJ12" s="991" t="s">
        <v>1039</v>
      </c>
      <c r="BL12" s="991" t="s">
        <v>1039</v>
      </c>
      <c r="BN12" s="991" t="s">
        <v>1467</v>
      </c>
      <c r="BQ12" s="1200">
        <v>4213779</v>
      </c>
      <c r="BR12" s="991" t="s">
        <v>1425</v>
      </c>
      <c r="BS12" s="1348"/>
      <c r="BT12" s="993"/>
      <c r="BU12" s="993"/>
      <c r="BV12" s="993"/>
      <c r="BW12" s="1609"/>
      <c r="BX12" s="1609"/>
    </row>
    <row r="13" spans="1:79" ht="11.25" customHeight="1">
      <c r="A13" s="997" t="s">
        <v>1468</v>
      </c>
      <c r="B13" s="998">
        <v>2011</v>
      </c>
      <c r="E13" s="999" t="s">
        <v>1469</v>
      </c>
      <c r="F13" s="1015"/>
      <c r="I13" s="999" t="s">
        <v>151</v>
      </c>
      <c r="K13" s="1021" t="s">
        <v>1424</v>
      </c>
      <c r="V13" s="307" t="s">
        <v>151</v>
      </c>
      <c r="W13" s="1012"/>
      <c r="X13" s="1012"/>
      <c r="Y13" s="1012"/>
      <c r="AW13" s="1040" t="s">
        <v>150</v>
      </c>
      <c r="AX13" s="1040" t="s">
        <v>150</v>
      </c>
      <c r="BB13" s="1040" t="s">
        <v>1470</v>
      </c>
      <c r="BC13" s="1040" t="s">
        <v>1471</v>
      </c>
      <c r="BE13" s="1040">
        <v>2011</v>
      </c>
      <c r="BF13" s="1040" t="s">
        <v>1035</v>
      </c>
      <c r="BH13" s="991" t="s">
        <v>1472</v>
      </c>
      <c r="BJ13" s="991" t="s">
        <v>1456</v>
      </c>
      <c r="BL13" s="991" t="s">
        <v>1456</v>
      </c>
      <c r="BN13" s="991" t="s">
        <v>1046</v>
      </c>
      <c r="BQ13" s="1200">
        <v>4213783</v>
      </c>
      <c r="BR13" s="991" t="s">
        <v>1438</v>
      </c>
      <c r="BS13" s="1348"/>
      <c r="BT13" s="993"/>
      <c r="BU13" s="993"/>
      <c r="BV13" s="993"/>
      <c r="BW13" s="1613"/>
      <c r="BX13" s="1609"/>
    </row>
    <row r="14" spans="1:79" ht="11.25" customHeight="1">
      <c r="A14" s="997" t="s">
        <v>1473</v>
      </c>
      <c r="B14" s="998">
        <v>2012</v>
      </c>
      <c r="I14" s="999" t="s">
        <v>152</v>
      </c>
      <c r="J14" s="990" t="s">
        <v>1474</v>
      </c>
      <c r="N14" s="990" t="s">
        <v>1475</v>
      </c>
      <c r="V14" s="1006">
        <v>13</v>
      </c>
      <c r="W14" s="1007"/>
      <c r="X14" s="1007" t="s">
        <v>1291</v>
      </c>
      <c r="Y14" s="998" t="s">
        <v>1257</v>
      </c>
      <c r="AW14" s="1040" t="s">
        <v>151</v>
      </c>
      <c r="AX14" s="1040" t="s">
        <v>151</v>
      </c>
      <c r="AZ14" s="990" t="s">
        <v>1476</v>
      </c>
      <c r="BB14" s="1040" t="s">
        <v>1477</v>
      </c>
      <c r="BC14" s="1040" t="s">
        <v>1471</v>
      </c>
      <c r="BE14" s="1040">
        <v>2012</v>
      </c>
      <c r="BH14" s="991" t="s">
        <v>1400</v>
      </c>
      <c r="BJ14" s="1136" t="s">
        <v>1478</v>
      </c>
      <c r="BL14" s="1136" t="s">
        <v>1478</v>
      </c>
      <c r="BN14" s="991" t="s">
        <v>1479</v>
      </c>
      <c r="BQ14" s="1200">
        <v>4213782</v>
      </c>
      <c r="BR14" s="991" t="s">
        <v>190</v>
      </c>
      <c r="BS14" s="1348"/>
      <c r="BT14" s="993"/>
      <c r="BU14" s="993"/>
      <c r="BV14" s="993"/>
      <c r="BW14" s="1613"/>
      <c r="BX14" s="1609"/>
    </row>
    <row r="15" spans="1:79" ht="19.5" customHeight="1">
      <c r="A15" s="997" t="s">
        <v>1480</v>
      </c>
      <c r="B15" s="998">
        <v>2013</v>
      </c>
      <c r="E15" s="1617" t="s">
        <v>1481</v>
      </c>
      <c r="G15" s="990" t="s">
        <v>1482</v>
      </c>
      <c r="H15" s="990" t="s">
        <v>1483</v>
      </c>
      <c r="I15" s="1001" t="s">
        <v>153</v>
      </c>
      <c r="J15" s="1012" t="s">
        <v>584</v>
      </c>
      <c r="N15" s="1077" t="s">
        <v>1484</v>
      </c>
      <c r="X15" s="1010"/>
      <c r="AW15" s="1040" t="s">
        <v>152</v>
      </c>
      <c r="AX15" s="1040" t="s">
        <v>152</v>
      </c>
      <c r="AZ15" s="1040" t="s">
        <v>1411</v>
      </c>
      <c r="BB15" s="1040" t="s">
        <v>1485</v>
      </c>
      <c r="BC15" s="1040" t="s">
        <v>1471</v>
      </c>
      <c r="BE15" s="1040">
        <v>2013</v>
      </c>
      <c r="BH15" s="991" t="s">
        <v>1416</v>
      </c>
      <c r="BJ15" s="1136" t="s">
        <v>1486</v>
      </c>
      <c r="BL15" s="1136" t="s">
        <v>1486</v>
      </c>
      <c r="BN15" s="991" t="s">
        <v>1487</v>
      </c>
      <c r="BR15" s="993"/>
      <c r="BS15" s="1350"/>
      <c r="BT15" s="993"/>
      <c r="BU15" s="993"/>
      <c r="BV15" s="993"/>
      <c r="BW15" s="1613"/>
      <c r="BX15" s="1609"/>
    </row>
    <row r="16" spans="1:79" ht="21" customHeight="1">
      <c r="A16" s="1786" t="s">
        <v>1488</v>
      </c>
      <c r="B16" s="998">
        <v>2014</v>
      </c>
      <c r="E16" s="1618" t="s">
        <v>1489</v>
      </c>
      <c r="G16" s="999" t="s">
        <v>1490</v>
      </c>
      <c r="H16" s="999" t="s">
        <v>1491</v>
      </c>
      <c r="I16" s="1001" t="s">
        <v>1492</v>
      </c>
      <c r="J16" s="1012" t="s">
        <v>554</v>
      </c>
      <c r="N16" s="1077" t="s">
        <v>1493</v>
      </c>
      <c r="AW16" s="1040" t="s">
        <v>153</v>
      </c>
      <c r="AX16" s="1040" t="s">
        <v>153</v>
      </c>
      <c r="AZ16" s="1040" t="s">
        <v>66</v>
      </c>
      <c r="BB16" s="1040" t="s">
        <v>1494</v>
      </c>
      <c r="BC16" s="1040" t="s">
        <v>1471</v>
      </c>
      <c r="BE16" s="1040">
        <v>2014</v>
      </c>
      <c r="BH16" s="991" t="s">
        <v>1430</v>
      </c>
      <c r="BJ16" s="1136" t="s">
        <v>1495</v>
      </c>
      <c r="BL16" s="1136" t="s">
        <v>1495</v>
      </c>
      <c r="BN16" s="991" t="s">
        <v>1496</v>
      </c>
      <c r="BR16" s="993"/>
      <c r="BS16" s="1350"/>
      <c r="BT16" s="993"/>
      <c r="BU16" s="993"/>
      <c r="BV16" s="993"/>
      <c r="BW16" s="1613"/>
      <c r="BX16" s="1609"/>
    </row>
    <row r="17" spans="1:82" ht="21" customHeight="1">
      <c r="A17" s="997" t="s">
        <v>1497</v>
      </c>
      <c r="B17" s="998">
        <v>2015</v>
      </c>
      <c r="G17" s="999" t="s">
        <v>1447</v>
      </c>
      <c r="H17" s="999" t="s">
        <v>1447</v>
      </c>
      <c r="I17" s="999" t="s">
        <v>1498</v>
      </c>
      <c r="N17" s="1077" t="s">
        <v>1499</v>
      </c>
      <c r="X17" s="1010"/>
      <c r="AW17" s="1040" t="s">
        <v>1492</v>
      </c>
      <c r="AX17" s="1040" t="s">
        <v>1492</v>
      </c>
      <c r="AZ17" s="1040" t="s">
        <v>1500</v>
      </c>
      <c r="BB17" s="1040" t="s">
        <v>1501</v>
      </c>
      <c r="BC17" s="1040" t="s">
        <v>1360</v>
      </c>
      <c r="BE17" s="1040">
        <v>2015</v>
      </c>
      <c r="BH17" s="991" t="s">
        <v>1443</v>
      </c>
      <c r="BJ17" s="1136" t="s">
        <v>1502</v>
      </c>
      <c r="BL17" s="1136" t="s">
        <v>1502</v>
      </c>
      <c r="BN17" s="991" t="s">
        <v>1503</v>
      </c>
      <c r="BR17" s="990" t="s">
        <v>1302</v>
      </c>
      <c r="BS17" s="1347"/>
      <c r="BU17" s="990" t="s">
        <v>1504</v>
      </c>
      <c r="BV17" s="993"/>
      <c r="BW17" s="1609"/>
      <c r="BX17" s="1611" t="s">
        <v>1505</v>
      </c>
      <c r="CA17" s="990" t="s">
        <v>1506</v>
      </c>
      <c r="CD17" s="990" t="s">
        <v>1507</v>
      </c>
    </row>
    <row r="18" spans="1:82" ht="21" customHeight="1">
      <c r="A18" s="997" t="s">
        <v>1508</v>
      </c>
      <c r="B18" s="998">
        <v>2016</v>
      </c>
      <c r="E18" s="1918" t="s">
        <v>1509</v>
      </c>
      <c r="I18" s="999" t="s">
        <v>1510</v>
      </c>
      <c r="N18" s="1077" t="s">
        <v>1511</v>
      </c>
      <c r="X18" s="1010"/>
      <c r="AW18" s="1040" t="s">
        <v>1498</v>
      </c>
      <c r="AX18" s="1040" t="s">
        <v>1498</v>
      </c>
      <c r="BB18" s="1040" t="s">
        <v>1512</v>
      </c>
      <c r="BC18" s="1040" t="s">
        <v>1360</v>
      </c>
      <c r="BE18" s="1040">
        <v>2016</v>
      </c>
      <c r="BH18" s="991" t="s">
        <v>1457</v>
      </c>
      <c r="BJ18" s="1136" t="s">
        <v>1513</v>
      </c>
      <c r="BL18" s="1136" t="s">
        <v>1513</v>
      </c>
      <c r="BN18" s="991" t="s">
        <v>1514</v>
      </c>
      <c r="BQ18" s="1351" t="s">
        <v>1332</v>
      </c>
      <c r="BR18" s="1078" t="s">
        <v>1333</v>
      </c>
      <c r="BS18" s="211"/>
      <c r="BT18" s="1351" t="s">
        <v>1515</v>
      </c>
      <c r="BU18" s="1078" t="s">
        <v>1516</v>
      </c>
      <c r="BV18" s="993"/>
      <c r="BW18" s="1616" t="s">
        <v>1517</v>
      </c>
      <c r="BX18" s="1610" t="s">
        <v>1518</v>
      </c>
      <c r="BZ18" s="1351" t="s">
        <v>1519</v>
      </c>
      <c r="CA18" s="1078" t="s">
        <v>1520</v>
      </c>
      <c r="CC18" s="1351" t="s">
        <v>1521</v>
      </c>
      <c r="CD18" s="1078" t="s">
        <v>1522</v>
      </c>
    </row>
    <row r="19" spans="1:82" ht="21" customHeight="1">
      <c r="A19" s="1786" t="s">
        <v>1523</v>
      </c>
      <c r="B19" s="998">
        <v>2017</v>
      </c>
      <c r="E19" s="997" t="s">
        <v>165</v>
      </c>
      <c r="I19" s="999" t="s">
        <v>1524</v>
      </c>
      <c r="N19" s="1077" t="s">
        <v>1525</v>
      </c>
      <c r="X19" s="1010"/>
      <c r="AW19" s="1040" t="s">
        <v>1510</v>
      </c>
      <c r="AX19" s="1040" t="s">
        <v>1510</v>
      </c>
      <c r="AZ19" s="990" t="s">
        <v>1526</v>
      </c>
      <c r="BB19" s="1040" t="s">
        <v>1527</v>
      </c>
      <c r="BC19" s="1040" t="s">
        <v>1360</v>
      </c>
      <c r="BE19" s="1040">
        <v>2017</v>
      </c>
      <c r="BH19" s="991" t="s">
        <v>1528</v>
      </c>
      <c r="BJ19" s="1136" t="s">
        <v>1529</v>
      </c>
      <c r="BL19" s="1136" t="s">
        <v>1529</v>
      </c>
      <c r="BQ19" s="1200">
        <v>4190064</v>
      </c>
      <c r="BR19" s="991" t="s">
        <v>1530</v>
      </c>
      <c r="BS19" s="1348"/>
      <c r="BT19" s="1200">
        <v>4189671</v>
      </c>
      <c r="BU19" s="991" t="s">
        <v>1531</v>
      </c>
      <c r="BV19" s="993"/>
      <c r="BW19" s="1614">
        <v>4189706</v>
      </c>
      <c r="BX19" s="1612" t="s">
        <v>1532</v>
      </c>
      <c r="BZ19" s="1200">
        <v>4189714</v>
      </c>
      <c r="CA19" s="991" t="s">
        <v>1533</v>
      </c>
      <c r="CC19" s="1200">
        <v>4189708</v>
      </c>
      <c r="CD19" s="991" t="s">
        <v>1534</v>
      </c>
    </row>
    <row r="20" spans="1:82" ht="21" customHeight="1">
      <c r="A20" s="997" t="s">
        <v>1535</v>
      </c>
      <c r="B20" s="998">
        <v>2018</v>
      </c>
      <c r="E20" s="997" t="s">
        <v>1291</v>
      </c>
      <c r="I20" s="999" t="s">
        <v>1536</v>
      </c>
      <c r="N20" s="1077" t="s">
        <v>1537</v>
      </c>
      <c r="AW20" s="1040" t="s">
        <v>1524</v>
      </c>
      <c r="AX20" s="1040" t="s">
        <v>1524</v>
      </c>
      <c r="AZ20" s="1040" t="s">
        <v>1538</v>
      </c>
      <c r="BB20" s="1040" t="s">
        <v>1539</v>
      </c>
      <c r="BC20" s="1040" t="s">
        <v>1471</v>
      </c>
      <c r="BE20" s="1040">
        <v>2018</v>
      </c>
      <c r="BH20" s="991" t="s">
        <v>1467</v>
      </c>
      <c r="BJ20" s="991" t="s">
        <v>1400</v>
      </c>
      <c r="BL20" s="991" t="s">
        <v>1400</v>
      </c>
      <c r="BQ20" s="1200">
        <v>4190065</v>
      </c>
      <c r="BR20" s="991" t="s">
        <v>1540</v>
      </c>
      <c r="BS20" s="1348"/>
      <c r="BT20" s="1200">
        <v>4189672</v>
      </c>
      <c r="BU20" s="991" t="s">
        <v>1541</v>
      </c>
      <c r="BV20" s="993"/>
      <c r="BW20" s="1614">
        <v>4189705</v>
      </c>
      <c r="BX20" s="1612" t="s">
        <v>1542</v>
      </c>
      <c r="BZ20" s="1200">
        <v>4189713</v>
      </c>
      <c r="CA20" s="991" t="s">
        <v>1542</v>
      </c>
      <c r="CC20" s="1200">
        <v>4189709</v>
      </c>
      <c r="CD20" s="991" t="s">
        <v>1543</v>
      </c>
    </row>
    <row r="21" spans="1:82" ht="21" customHeight="1">
      <c r="A21" s="997" t="s">
        <v>1544</v>
      </c>
      <c r="B21" s="998">
        <v>2019</v>
      </c>
      <c r="I21" s="999" t="s">
        <v>1545</v>
      </c>
      <c r="N21" s="1077" t="s">
        <v>1546</v>
      </c>
      <c r="AW21" s="1040" t="s">
        <v>1536</v>
      </c>
      <c r="AX21" s="1040" t="s">
        <v>1536</v>
      </c>
      <c r="AZ21" s="1040" t="s">
        <v>1547</v>
      </c>
      <c r="BB21" s="1040" t="s">
        <v>1548</v>
      </c>
      <c r="BC21" s="1040" t="s">
        <v>1360</v>
      </c>
      <c r="BE21" s="1040">
        <v>2019</v>
      </c>
      <c r="BH21" s="991" t="s">
        <v>1046</v>
      </c>
      <c r="BJ21" s="991" t="s">
        <v>1416</v>
      </c>
      <c r="BL21" s="991" t="s">
        <v>1416</v>
      </c>
      <c r="BQ21" s="1200">
        <v>4190066</v>
      </c>
      <c r="BR21" s="991" t="s">
        <v>1549</v>
      </c>
      <c r="BS21" s="1348"/>
      <c r="BT21" s="1200">
        <v>4189673</v>
      </c>
      <c r="BU21" s="991" t="s">
        <v>1550</v>
      </c>
      <c r="BV21" s="993"/>
      <c r="BW21" s="1614">
        <v>4189707</v>
      </c>
      <c r="BX21" s="1612" t="s">
        <v>1551</v>
      </c>
      <c r="BZ21" s="1200">
        <v>4189712</v>
      </c>
      <c r="CA21" s="991" t="s">
        <v>1552</v>
      </c>
      <c r="CC21" s="1200">
        <v>4189710</v>
      </c>
      <c r="CD21" s="991" t="s">
        <v>1553</v>
      </c>
    </row>
    <row r="22" spans="1:82" ht="21" customHeight="1">
      <c r="A22" s="997" t="s">
        <v>1554</v>
      </c>
      <c r="B22" s="998">
        <v>2020</v>
      </c>
      <c r="N22" s="1077" t="s">
        <v>1555</v>
      </c>
      <c r="AW22" s="1040" t="s">
        <v>1545</v>
      </c>
      <c r="AX22" s="1040" t="s">
        <v>1545</v>
      </c>
      <c r="AZ22" s="1040" t="s">
        <v>1556</v>
      </c>
      <c r="BB22" s="1040" t="s">
        <v>1557</v>
      </c>
      <c r="BC22" s="1040" t="s">
        <v>1360</v>
      </c>
      <c r="BE22" s="1040">
        <v>2020</v>
      </c>
      <c r="BH22" s="991" t="s">
        <v>1479</v>
      </c>
      <c r="BJ22" s="991" t="s">
        <v>1430</v>
      </c>
      <c r="BL22" s="991" t="s">
        <v>1430</v>
      </c>
      <c r="BQ22" s="1200">
        <v>4190067</v>
      </c>
      <c r="BR22" s="991" t="s">
        <v>1558</v>
      </c>
      <c r="BS22" s="1348"/>
      <c r="BT22" s="1200">
        <v>4189674</v>
      </c>
      <c r="BU22" s="991" t="s">
        <v>1559</v>
      </c>
      <c r="BV22" s="993"/>
      <c r="BW22" s="993"/>
      <c r="CC22" s="1200">
        <v>4189711</v>
      </c>
      <c r="CD22" s="991" t="s">
        <v>291</v>
      </c>
    </row>
    <row r="23" spans="1:82" ht="21" customHeight="1">
      <c r="A23" s="997" t="s">
        <v>1560</v>
      </c>
      <c r="B23" s="998">
        <v>2021</v>
      </c>
      <c r="AW23" s="1040" t="s">
        <v>1561</v>
      </c>
      <c r="AX23" s="1040" t="s">
        <v>1561</v>
      </c>
      <c r="AZ23" s="1040" t="s">
        <v>990</v>
      </c>
      <c r="BB23" s="1040" t="s">
        <v>1562</v>
      </c>
      <c r="BC23" s="1040" t="s">
        <v>1268</v>
      </c>
      <c r="BE23" s="1040">
        <v>2021</v>
      </c>
      <c r="BH23" s="991" t="s">
        <v>1487</v>
      </c>
      <c r="BJ23" s="991" t="s">
        <v>1443</v>
      </c>
      <c r="BL23" s="991" t="s">
        <v>1443</v>
      </c>
      <c r="BQ23" s="1200">
        <v>4190068</v>
      </c>
      <c r="BR23" s="991" t="s">
        <v>1563</v>
      </c>
      <c r="BS23" s="1348"/>
      <c r="BT23" s="1200">
        <v>4189675</v>
      </c>
      <c r="BU23" s="991" t="s">
        <v>1564</v>
      </c>
      <c r="BV23" s="993"/>
      <c r="BW23" s="993"/>
      <c r="CC23" s="1200">
        <v>5110778</v>
      </c>
      <c r="CD23" s="991" t="s">
        <v>1565</v>
      </c>
    </row>
    <row r="24" spans="1:82" ht="21" customHeight="1">
      <c r="A24" s="997" t="s">
        <v>1566</v>
      </c>
      <c r="B24" s="998">
        <v>2022</v>
      </c>
      <c r="AW24" s="1040" t="s">
        <v>1567</v>
      </c>
      <c r="AX24" s="1040" t="s">
        <v>1567</v>
      </c>
      <c r="AZ24" s="1040" t="s">
        <v>1568</v>
      </c>
      <c r="BB24" s="1040" t="s">
        <v>1569</v>
      </c>
      <c r="BC24" s="1040" t="s">
        <v>1570</v>
      </c>
      <c r="BE24" s="1040">
        <v>2022</v>
      </c>
      <c r="BH24" s="991" t="s">
        <v>1496</v>
      </c>
      <c r="BJ24" s="991" t="s">
        <v>1457</v>
      </c>
      <c r="BL24" s="991" t="s">
        <v>1457</v>
      </c>
      <c r="BQ24" s="1200">
        <v>4190069</v>
      </c>
      <c r="BR24" s="991" t="s">
        <v>1571</v>
      </c>
      <c r="BS24" s="1348"/>
      <c r="BT24" s="1200">
        <v>4189676</v>
      </c>
      <c r="BU24" s="991" t="s">
        <v>1572</v>
      </c>
      <c r="BV24" s="993"/>
      <c r="BW24" s="993"/>
      <c r="CC24" s="1200">
        <v>25575374</v>
      </c>
      <c r="CD24" s="991" t="s">
        <v>1573</v>
      </c>
    </row>
    <row r="25" spans="1:82" ht="11.25" customHeight="1">
      <c r="A25" s="997" t="s">
        <v>1574</v>
      </c>
      <c r="B25" s="998">
        <v>2023</v>
      </c>
      <c r="AW25" s="1040" t="s">
        <v>1575</v>
      </c>
      <c r="AX25" s="1040" t="s">
        <v>1575</v>
      </c>
      <c r="AZ25" s="1040" t="s">
        <v>1576</v>
      </c>
      <c r="BB25" s="1040" t="s">
        <v>1577</v>
      </c>
      <c r="BC25" s="1040" t="s">
        <v>1570</v>
      </c>
      <c r="BE25" s="1040">
        <v>2023</v>
      </c>
      <c r="BH25" s="991" t="s">
        <v>1503</v>
      </c>
      <c r="BJ25" s="991" t="s">
        <v>1528</v>
      </c>
      <c r="BL25" s="991" t="s">
        <v>1528</v>
      </c>
      <c r="BQ25" s="1200">
        <v>4190070</v>
      </c>
      <c r="BR25" s="991" t="s">
        <v>1578</v>
      </c>
      <c r="BS25" s="1348"/>
      <c r="BT25" s="1200">
        <v>4189677</v>
      </c>
      <c r="BU25" s="991" t="s">
        <v>1579</v>
      </c>
      <c r="BV25" s="993"/>
      <c r="BW25" s="993"/>
    </row>
    <row r="26" spans="1:82" ht="11.25" customHeight="1">
      <c r="A26" s="997" t="s">
        <v>1580</v>
      </c>
      <c r="B26" s="998">
        <v>2024</v>
      </c>
      <c r="J26" s="1649" t="s">
        <v>1581</v>
      </c>
      <c r="AX26" s="1040" t="s">
        <v>1582</v>
      </c>
      <c r="AZ26" s="1040" t="s">
        <v>1450</v>
      </c>
      <c r="BB26" s="1040" t="s">
        <v>1583</v>
      </c>
      <c r="BC26" s="1040" t="s">
        <v>1570</v>
      </c>
      <c r="BE26" s="1040">
        <v>2024</v>
      </c>
      <c r="BH26" s="991" t="s">
        <v>1514</v>
      </c>
      <c r="BJ26" s="991" t="s">
        <v>1467</v>
      </c>
      <c r="BL26" s="991" t="s">
        <v>1467</v>
      </c>
      <c r="BQ26" s="1200">
        <v>4190071</v>
      </c>
      <c r="BR26" s="991" t="s">
        <v>1584</v>
      </c>
      <c r="BS26" s="1348"/>
      <c r="BV26" s="993"/>
      <c r="BW26" s="993"/>
    </row>
    <row r="27" spans="1:82" ht="11.25" customHeight="1">
      <c r="A27" s="997" t="s">
        <v>1585</v>
      </c>
      <c r="B27" s="998">
        <v>2025</v>
      </c>
      <c r="J27" s="113" t="s">
        <v>575</v>
      </c>
      <c r="AX27" s="1040" t="s">
        <v>1586</v>
      </c>
      <c r="BB27" s="1040" t="s">
        <v>1587</v>
      </c>
      <c r="BC27" s="1040" t="s">
        <v>1570</v>
      </c>
      <c r="BE27" s="1040">
        <v>2025</v>
      </c>
      <c r="BH27" s="993" t="s">
        <v>22</v>
      </c>
      <c r="BJ27" s="991" t="s">
        <v>1046</v>
      </c>
      <c r="BL27" s="991" t="s">
        <v>1046</v>
      </c>
      <c r="BN27" s="993" t="s">
        <v>22</v>
      </c>
      <c r="BQ27" s="1200">
        <v>4190072</v>
      </c>
      <c r="BR27" s="991" t="s">
        <v>1588</v>
      </c>
      <c r="BS27" s="1348"/>
      <c r="BV27" s="993"/>
      <c r="BW27" s="993"/>
    </row>
    <row r="28" spans="1:82" ht="11.25" customHeight="1">
      <c r="A28" s="997" t="s">
        <v>1589</v>
      </c>
      <c r="D28" s="1022"/>
      <c r="E28" s="1023"/>
      <c r="F28" s="1023"/>
      <c r="H28" s="1024" t="s">
        <v>1590</v>
      </c>
      <c r="AX28" s="1040" t="s">
        <v>1591</v>
      </c>
      <c r="AZ28" s="990" t="s">
        <v>1592</v>
      </c>
      <c r="BB28" s="1040" t="s">
        <v>1593</v>
      </c>
      <c r="BC28" s="1040" t="s">
        <v>1594</v>
      </c>
      <c r="BE28" s="1040">
        <v>2026</v>
      </c>
      <c r="BH28" s="993" t="s">
        <v>22</v>
      </c>
      <c r="BJ28" s="991" t="s">
        <v>1479</v>
      </c>
      <c r="BL28" s="991" t="s">
        <v>1479</v>
      </c>
      <c r="BN28" s="993" t="s">
        <v>22</v>
      </c>
      <c r="BQ28" s="1200">
        <v>4190073</v>
      </c>
      <c r="BR28" s="991" t="s">
        <v>1595</v>
      </c>
      <c r="BS28" s="1348"/>
      <c r="BV28" s="993"/>
      <c r="BW28" s="993"/>
    </row>
    <row r="29" spans="1:82" ht="11.25" customHeight="1">
      <c r="A29" s="997" t="s">
        <v>1596</v>
      </c>
      <c r="D29" s="1025" t="s">
        <v>1597</v>
      </c>
      <c r="E29" s="1026" t="str">
        <f>IF(TEMPLATE_GROUP="","",INDEX(StartDateList,MATCH(TEMPLATE_GROUP,CodeTemplateList,0),1))</f>
        <v>01.01.2023</v>
      </c>
      <c r="F29" s="1026" t="str">
        <f>IF(TEMPLATE_GROUP="","",INDEX(EndDateList,MATCH(TEMPLATE_GROUP,CodeTemplateList,0),1))</f>
        <v>31.12.2023</v>
      </c>
      <c r="H29" s="1027" t="s">
        <v>1598</v>
      </c>
      <c r="AX29" s="1040" t="s">
        <v>1599</v>
      </c>
      <c r="AZ29" s="1040" t="s">
        <v>1252</v>
      </c>
      <c r="BB29" s="1040" t="s">
        <v>1450</v>
      </c>
      <c r="BC29" s="1013"/>
      <c r="BE29" s="1040">
        <v>2027</v>
      </c>
      <c r="BJ29" s="991" t="s">
        <v>1487</v>
      </c>
      <c r="BL29" s="991" t="s">
        <v>1487</v>
      </c>
    </row>
    <row r="30" spans="1:82" ht="11.25" customHeight="1">
      <c r="A30" s="997" t="s">
        <v>1600</v>
      </c>
      <c r="D30" s="1028"/>
      <c r="E30" s="1029"/>
      <c r="F30" s="1029"/>
      <c r="AX30" s="1040" t="s">
        <v>1601</v>
      </c>
      <c r="AZ30" s="1040" t="s">
        <v>1280</v>
      </c>
      <c r="BE30" s="1040">
        <v>2028</v>
      </c>
      <c r="BJ30" s="991" t="s">
        <v>1602</v>
      </c>
      <c r="BL30" s="991" t="s">
        <v>1602</v>
      </c>
    </row>
    <row r="31" spans="1:82" ht="12.75" customHeight="1">
      <c r="A31" s="997" t="s">
        <v>1603</v>
      </c>
      <c r="D31" s="1022"/>
      <c r="E31" s="1023"/>
      <c r="F31" s="1023"/>
      <c r="H31" s="1030"/>
      <c r="AX31" s="1040" t="s">
        <v>1604</v>
      </c>
      <c r="AZ31" s="1040" t="s">
        <v>1605</v>
      </c>
      <c r="BE31" s="1040">
        <v>2029</v>
      </c>
      <c r="BJ31" s="991" t="s">
        <v>1606</v>
      </c>
      <c r="BL31" s="991" t="s">
        <v>1606</v>
      </c>
    </row>
    <row r="32" spans="1:82" ht="11.25" customHeight="1">
      <c r="A32" s="997" t="s">
        <v>1607</v>
      </c>
      <c r="D32" s="1025" t="s">
        <v>1608</v>
      </c>
      <c r="E32" s="1026" t="str">
        <f>IF(TEMPLATE_GROUP="","",INDEX(StartDateList,MATCH(TEMPLATE_GROUP,CodeTemplateList,0),1))</f>
        <v>01.01.2023</v>
      </c>
      <c r="F32" s="1026" t="str">
        <f>IF(TEMPLATE_GROUP="","",INDEX(EndDateList,MATCH(TEMPLATE_GROUP,CodeTemplateList,0),1))</f>
        <v>31.12.2023</v>
      </c>
      <c r="H32" s="1031" t="s">
        <v>1609</v>
      </c>
      <c r="O32" s="997" t="s">
        <v>1250</v>
      </c>
      <c r="AX32" s="1040" t="s">
        <v>1610</v>
      </c>
      <c r="AZ32" s="1040" t="s">
        <v>1348</v>
      </c>
      <c r="BE32" s="1040">
        <v>2030</v>
      </c>
      <c r="BJ32" s="991" t="s">
        <v>1496</v>
      </c>
      <c r="BL32" s="991" t="s">
        <v>1496</v>
      </c>
    </row>
    <row r="33" spans="1:66" ht="11.25" customHeight="1">
      <c r="A33" s="997" t="s">
        <v>1611</v>
      </c>
      <c r="O33" s="997" t="s">
        <v>1277</v>
      </c>
      <c r="AX33" s="1040" t="s">
        <v>1612</v>
      </c>
      <c r="AZ33" s="1040" t="s">
        <v>1251</v>
      </c>
      <c r="BE33" s="1040">
        <v>2031</v>
      </c>
      <c r="BJ33" s="991" t="s">
        <v>1503</v>
      </c>
      <c r="BL33" s="991" t="s">
        <v>1503</v>
      </c>
    </row>
    <row r="34" spans="1:66" ht="11.25" customHeight="1">
      <c r="A34" s="997" t="s">
        <v>1613</v>
      </c>
      <c r="O34" s="997" t="s">
        <v>1313</v>
      </c>
      <c r="AX34" s="1040" t="s">
        <v>1614</v>
      </c>
      <c r="BE34" s="1040">
        <v>2032</v>
      </c>
      <c r="BJ34" s="991" t="s">
        <v>1514</v>
      </c>
      <c r="BL34" s="991" t="s">
        <v>1514</v>
      </c>
    </row>
    <row r="35" spans="1:66" ht="11.25" customHeight="1">
      <c r="A35" s="997" t="s">
        <v>1615</v>
      </c>
      <c r="O35" s="997" t="s">
        <v>1346</v>
      </c>
      <c r="AX35" s="1040" t="s">
        <v>1616</v>
      </c>
      <c r="AZ35" s="990" t="s">
        <v>1617</v>
      </c>
      <c r="BE35" s="1040">
        <v>2033</v>
      </c>
      <c r="BL35" s="991" t="s">
        <v>1618</v>
      </c>
    </row>
    <row r="36" spans="1:66" ht="11.25" customHeight="1">
      <c r="A36" s="1786" t="s">
        <v>1619</v>
      </c>
      <c r="D36" s="1032" t="s">
        <v>1620</v>
      </c>
      <c r="E36" s="1033" t="s">
        <v>907</v>
      </c>
      <c r="F36" s="1034" t="str">
        <f>INDEX(E37:E41,MATCH(TEMPLATE_SPHERE,F37:F41,0))</f>
        <v>водоотведения</v>
      </c>
      <c r="G36" s="1034" t="str">
        <f>INDEX(G37:G41,MATCH(TEMPLATE_SPHERE,F37:F41,0))</f>
        <v>водоотведение</v>
      </c>
      <c r="O36" s="997" t="s">
        <v>1371</v>
      </c>
      <c r="AX36" s="1040" t="s">
        <v>1621</v>
      </c>
      <c r="AZ36" s="1040" t="s">
        <v>1251</v>
      </c>
      <c r="BE36" s="1040">
        <v>2034</v>
      </c>
      <c r="BL36" s="991" t="s">
        <v>1622</v>
      </c>
    </row>
    <row r="37" spans="1:66" ht="11.25" customHeight="1">
      <c r="A37" s="997" t="s">
        <v>1623</v>
      </c>
      <c r="E37" s="344" t="s">
        <v>1624</v>
      </c>
      <c r="F37" s="1035" t="s">
        <v>808</v>
      </c>
      <c r="G37" s="344" t="s">
        <v>1625</v>
      </c>
      <c r="O37" s="997" t="s">
        <v>1390</v>
      </c>
      <c r="AX37" s="1040" t="s">
        <v>1626</v>
      </c>
      <c r="AZ37" s="1040" t="s">
        <v>1279</v>
      </c>
      <c r="BE37" s="1040">
        <v>2035</v>
      </c>
    </row>
    <row r="38" spans="1:66" ht="11.25" customHeight="1">
      <c r="A38" s="997" t="s">
        <v>1627</v>
      </c>
      <c r="E38" s="344" t="s">
        <v>1628</v>
      </c>
      <c r="F38" s="1036" t="s">
        <v>854</v>
      </c>
      <c r="G38" s="344" t="s">
        <v>1629</v>
      </c>
      <c r="O38" s="997" t="s">
        <v>1407</v>
      </c>
      <c r="AX38" s="1040" t="s">
        <v>1630</v>
      </c>
      <c r="AZ38" s="1040" t="s">
        <v>1314</v>
      </c>
      <c r="BE38" s="1040">
        <v>2036</v>
      </c>
      <c r="BH38" s="990" t="s">
        <v>1631</v>
      </c>
      <c r="BJ38" s="990" t="s">
        <v>1632</v>
      </c>
      <c r="BL38" s="990" t="s">
        <v>1633</v>
      </c>
      <c r="BN38" s="990" t="s">
        <v>1634</v>
      </c>
    </row>
    <row r="39" spans="1:66" ht="11.25" customHeight="1">
      <c r="A39" s="997" t="s">
        <v>1635</v>
      </c>
      <c r="E39" s="344" t="s">
        <v>1636</v>
      </c>
      <c r="F39" s="1036" t="s">
        <v>907</v>
      </c>
      <c r="G39" s="344" t="s">
        <v>1637</v>
      </c>
      <c r="O39" s="997" t="s">
        <v>1423</v>
      </c>
      <c r="AX39" s="1040" t="s">
        <v>1638</v>
      </c>
      <c r="AZ39" s="1040" t="s">
        <v>1347</v>
      </c>
      <c r="BE39" s="1040">
        <v>2037</v>
      </c>
      <c r="BH39" s="991" t="s">
        <v>1639</v>
      </c>
      <c r="BJ39" s="1136" t="s">
        <v>1639</v>
      </c>
      <c r="BL39" s="1136" t="s">
        <v>1639</v>
      </c>
      <c r="BN39" s="991" t="s">
        <v>1640</v>
      </c>
    </row>
    <row r="40" spans="1:66" ht="11.25" customHeight="1">
      <c r="A40" s="997" t="s">
        <v>1641</v>
      </c>
      <c r="E40" s="344" t="s">
        <v>1642</v>
      </c>
      <c r="F40" s="1036" t="s">
        <v>894</v>
      </c>
      <c r="G40" s="344" t="s">
        <v>1643</v>
      </c>
      <c r="O40" s="997" t="s">
        <v>1437</v>
      </c>
      <c r="AX40" s="1040" t="s">
        <v>1644</v>
      </c>
      <c r="BE40" s="1040">
        <v>2038</v>
      </c>
      <c r="BH40" s="991" t="s">
        <v>1645</v>
      </c>
      <c r="BJ40" s="1136" t="s">
        <v>1061</v>
      </c>
      <c r="BL40" s="1136" t="s">
        <v>1061</v>
      </c>
      <c r="BN40" s="991" t="s">
        <v>1095</v>
      </c>
    </row>
    <row r="41" spans="1:66" ht="11.25" customHeight="1">
      <c r="A41" s="997" t="s">
        <v>1646</v>
      </c>
      <c r="E41" s="344" t="s">
        <v>1647</v>
      </c>
      <c r="F41" s="1036" t="s">
        <v>1648</v>
      </c>
      <c r="G41" s="344" t="s">
        <v>1647</v>
      </c>
      <c r="O41" s="997" t="s">
        <v>1450</v>
      </c>
      <c r="AX41" s="1040" t="s">
        <v>1649</v>
      </c>
      <c r="AZ41" s="990" t="s">
        <v>1650</v>
      </c>
      <c r="BE41" s="1040">
        <v>2039</v>
      </c>
      <c r="BH41" s="991" t="s">
        <v>1651</v>
      </c>
      <c r="BJ41" s="1136" t="s">
        <v>1057</v>
      </c>
      <c r="BL41" s="1136" t="s">
        <v>1057</v>
      </c>
      <c r="BN41" s="991" t="s">
        <v>1082</v>
      </c>
    </row>
    <row r="42" spans="1:66" ht="11.25" customHeight="1">
      <c r="A42" s="997" t="s">
        <v>1652</v>
      </c>
      <c r="AX42" s="1040" t="s">
        <v>1653</v>
      </c>
      <c r="AZ42" s="1040" t="s">
        <v>1250</v>
      </c>
      <c r="BE42" s="1040">
        <v>2040</v>
      </c>
      <c r="BH42" s="991" t="s">
        <v>1079</v>
      </c>
      <c r="BJ42" s="1136" t="s">
        <v>1059</v>
      </c>
      <c r="BL42" s="1136" t="s">
        <v>1059</v>
      </c>
      <c r="BN42" s="991" t="s">
        <v>1654</v>
      </c>
    </row>
    <row r="43" spans="1:66" ht="11.25" customHeight="1">
      <c r="A43" s="997" t="s">
        <v>1655</v>
      </c>
      <c r="AX43" s="1040" t="s">
        <v>1656</v>
      </c>
      <c r="AZ43" s="1040" t="s">
        <v>1277</v>
      </c>
      <c r="BE43" s="1040">
        <v>2041</v>
      </c>
      <c r="BH43" s="991" t="s">
        <v>1657</v>
      </c>
      <c r="BJ43" s="1136" t="s">
        <v>1651</v>
      </c>
      <c r="BL43" s="1136" t="s">
        <v>1651</v>
      </c>
      <c r="BN43" s="991" t="s">
        <v>1658</v>
      </c>
    </row>
    <row r="44" spans="1:66" ht="11.25" customHeight="1">
      <c r="A44" s="997" t="s">
        <v>1659</v>
      </c>
      <c r="G44" s="1016">
        <f ca="1">YEAR(TODAY())</f>
        <v>2024</v>
      </c>
      <c r="I44" s="730" t="s">
        <v>1660</v>
      </c>
      <c r="J44" s="1012" t="s">
        <v>1661</v>
      </c>
      <c r="K44" s="1012" t="s">
        <v>1662</v>
      </c>
      <c r="AX44" s="1040" t="s">
        <v>1663</v>
      </c>
      <c r="AZ44" s="1040" t="s">
        <v>1313</v>
      </c>
      <c r="BE44" s="1040">
        <v>2042</v>
      </c>
      <c r="BH44" s="991" t="s">
        <v>1664</v>
      </c>
      <c r="BJ44" s="1136" t="s">
        <v>1079</v>
      </c>
      <c r="BL44" s="1136" t="s">
        <v>1079</v>
      </c>
      <c r="BN44" s="991" t="s">
        <v>1665</v>
      </c>
    </row>
    <row r="45" spans="1:66" ht="11.25" customHeight="1">
      <c r="A45" s="997" t="s">
        <v>1666</v>
      </c>
      <c r="D45" s="1032" t="s">
        <v>1667</v>
      </c>
      <c r="E45" s="1033" t="s">
        <v>1668</v>
      </c>
      <c r="F45" s="728" t="s">
        <v>1669</v>
      </c>
      <c r="G45" s="727" t="s">
        <v>1670</v>
      </c>
      <c r="H45" s="730" t="s">
        <v>1671</v>
      </c>
      <c r="I45" s="1659" t="b">
        <f>INDEX(PeriodIsEmptyList,MATCH(TEMPLATE_GROUP,CodeTemplateList,0),1)</f>
        <v>0</v>
      </c>
      <c r="J45" s="1662"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66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40" t="s">
        <v>1672</v>
      </c>
      <c r="AZ45" s="1040" t="s">
        <v>1346</v>
      </c>
      <c r="BE45" s="1040">
        <v>2043</v>
      </c>
      <c r="BH45" s="991" t="s">
        <v>1673</v>
      </c>
      <c r="BJ45" s="1136" t="s">
        <v>1073</v>
      </c>
      <c r="BL45" s="1136" t="s">
        <v>1073</v>
      </c>
      <c r="BN45" s="991" t="s">
        <v>1674</v>
      </c>
    </row>
    <row r="46" spans="1:66" ht="11.25" customHeight="1">
      <c r="A46" s="997" t="s">
        <v>1675</v>
      </c>
      <c r="E46" s="344" t="s">
        <v>27</v>
      </c>
      <c r="F46" s="1035" t="s">
        <v>1676</v>
      </c>
      <c r="G46" s="1037" t="str">
        <f ca="1">IFERROR(IF(TITLE_DATE_FIL="","01.01."&amp;CURRENT_YEAR,"01.01."&amp;YEAR(TITLE_DATE_FIL)),"01.01."&amp;CURRENT_YEAR)</f>
        <v>01.01.2024</v>
      </c>
      <c r="H46" s="1037" t="str">
        <f ca="1">IFERROR(IF(TITLE_DATE_FIL="","31.12."&amp;CURRENT_YEAR,"31.12."&amp;YEAR(TITLE_DATE_FIL)),"31.12."&amp;CURRENT_YEAR)</f>
        <v>31.12.2024</v>
      </c>
      <c r="I46" s="1660" t="b">
        <f>IF(TITLE_DATE_FIL="",TRUE,FALSE)</f>
        <v>1</v>
      </c>
      <c r="J46" s="1663" t="str">
        <f>"Общая информация о регулируемой организации ("&amp;TEMPLATE_SPHERE_RUS&amp;")"</f>
        <v>Общая информация о регулируемой организации (водоотведения)</v>
      </c>
      <c r="K46" s="1664"/>
      <c r="AX46" s="1040" t="s">
        <v>1677</v>
      </c>
      <c r="AZ46" s="1040" t="s">
        <v>1371</v>
      </c>
      <c r="BE46" s="1040">
        <v>2044</v>
      </c>
      <c r="BH46" s="991" t="s">
        <v>1082</v>
      </c>
      <c r="BJ46" s="1136" t="s">
        <v>1063</v>
      </c>
      <c r="BL46" s="1136" t="s">
        <v>1063</v>
      </c>
      <c r="BN46" s="991" t="s">
        <v>1678</v>
      </c>
    </row>
    <row r="47" spans="1:66" ht="11.25" customHeight="1">
      <c r="A47" s="997" t="s">
        <v>1679</v>
      </c>
      <c r="E47" s="344" t="s">
        <v>33</v>
      </c>
      <c r="F47" s="1036" t="s">
        <v>1680</v>
      </c>
      <c r="G47" s="1037" t="str">
        <f>IFERROR(IF(f_year="","01.01."&amp;CURRENT_YEAR,IF(LEN(f_quart)=0,"01.01."&amp;f_year,IF(f_quart="I квартал","01.01."&amp;f_year,IF(f_quart="II квартал","01.04."&amp;f_year,(IF(f_quart="III квартал","01.07."&amp;f_year,"01.10."&amp;f_year)))))),"01.01."&amp;CURRENT_YEAR)</f>
        <v>01.01.2023</v>
      </c>
      <c r="H47" s="1037" t="str">
        <f>IFERROR(IF(f_year="","31.12."&amp;CURRENT_YEAR,IF(LEN(f_quart)=0,"31.12."&amp;f_year,IF(f_quart="I квартал","31.03."&amp;f_year,IF(f_quart="II квартал","30.06."&amp;f_year,(IF(f_quart="III квартал","30.09."&amp;f_year,"31.12."&amp;f_year)))))),"31.12."&amp;CURRENT_YEAR)</f>
        <v>31.12.2023</v>
      </c>
      <c r="I47" s="1661" t="b">
        <f>IF(OR(f_year="",f_quart=""),TRUE,FALSE)</f>
        <v>1</v>
      </c>
      <c r="J47" s="166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64"/>
      <c r="AX47" s="1040" t="s">
        <v>1681</v>
      </c>
      <c r="AZ47" s="1040" t="s">
        <v>1390</v>
      </c>
      <c r="BE47" s="1040">
        <v>2045</v>
      </c>
      <c r="BH47" s="991" t="s">
        <v>1654</v>
      </c>
      <c r="BJ47" s="1136" t="s">
        <v>1065</v>
      </c>
      <c r="BL47" s="1136" t="s">
        <v>1065</v>
      </c>
      <c r="BN47" s="991" t="s">
        <v>1682</v>
      </c>
    </row>
    <row r="48" spans="1:66" ht="11.25" customHeight="1">
      <c r="A48" s="997" t="s">
        <v>1683</v>
      </c>
      <c r="E48" s="344" t="s">
        <v>1684</v>
      </c>
      <c r="F48" s="1036" t="s">
        <v>1668</v>
      </c>
      <c r="G48" s="1037" t="str">
        <f>IFERROR(IF(f_year="","01.01."&amp;CURRENT_YEAR,"01.01."&amp;f_year),"01.01."&amp;CURRENT_YEAR)</f>
        <v>01.01.2023</v>
      </c>
      <c r="H48" s="1037" t="str">
        <f>IFERROR(IF(f_year="","31.12."&amp;CURRENT_YEAR,"31.12."&amp;f_year),"31.12."&amp;CURRENT_YEAR)</f>
        <v>31.12.2023</v>
      </c>
      <c r="I48" s="1660" t="b">
        <f>IF(f_year="",TRUE,FALSE)</f>
        <v>0</v>
      </c>
      <c r="J48" s="1663" t="s">
        <v>1685</v>
      </c>
      <c r="K48" s="1664"/>
      <c r="AX48" s="1040" t="s">
        <v>1686</v>
      </c>
      <c r="AZ48" s="1040" t="s">
        <v>1407</v>
      </c>
      <c r="BE48" s="1040">
        <v>2046</v>
      </c>
      <c r="BH48" s="991" t="s">
        <v>1658</v>
      </c>
      <c r="BJ48" s="1136" t="s">
        <v>1067</v>
      </c>
      <c r="BL48" s="1136" t="s">
        <v>1067</v>
      </c>
      <c r="BN48" s="991" t="s">
        <v>1687</v>
      </c>
    </row>
    <row r="49" spans="1:64" ht="11.25" customHeight="1">
      <c r="A49" s="997" t="s">
        <v>1688</v>
      </c>
      <c r="E49" s="344" t="s">
        <v>1689</v>
      </c>
      <c r="F49" s="1036" t="s">
        <v>1690</v>
      </c>
      <c r="G49" s="1037" t="str">
        <f>IFERROR(IF(f_year="","01.01."&amp;CURRENT_YEAR,"01.01."&amp;f_year),"01.01."&amp;CURRENT_YEAR)</f>
        <v>01.01.2023</v>
      </c>
      <c r="H49" s="1037" t="str">
        <f>IFERROR(IF(f_year="","31.12."&amp;CURRENT_YEAR,"31.12."&amp;f_year),"31.12."&amp;CURRENT_YEAR)</f>
        <v>31.12.2023</v>
      </c>
      <c r="I49" s="1660" t="b">
        <f>IF(f_year="",TRUE,FALSE)</f>
        <v>0</v>
      </c>
      <c r="J49" s="166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64"/>
      <c r="AX49" s="1040" t="s">
        <v>1691</v>
      </c>
      <c r="AZ49" s="1040" t="s">
        <v>1423</v>
      </c>
      <c r="BE49" s="1040">
        <v>2047</v>
      </c>
      <c r="BH49" s="991" t="s">
        <v>1083</v>
      </c>
      <c r="BJ49" s="1136" t="s">
        <v>1069</v>
      </c>
      <c r="BL49" s="1136" t="s">
        <v>1069</v>
      </c>
    </row>
    <row r="50" spans="1:64" ht="11.25" customHeight="1">
      <c r="A50" s="997" t="s">
        <v>1692</v>
      </c>
      <c r="E50" s="344" t="s">
        <v>1693</v>
      </c>
      <c r="F50" s="1036" t="s">
        <v>1053</v>
      </c>
      <c r="G50" s="1037" t="str">
        <f>IFERROR(IF(f_year="","01.01."&amp;CURRENT_YEAR,"01.01."&amp;f_year),"01.01."&amp;CURRENT_YEAR)</f>
        <v>01.01.2023</v>
      </c>
      <c r="H50" s="1037" t="str">
        <f>IFERROR(IF(f_year="","31.12."&amp;CURRENT_YEAR,"31.12."&amp;f_year),"31.12."&amp;CURRENT_YEAR)</f>
        <v>31.12.2023</v>
      </c>
      <c r="I50" s="1660" t="b">
        <f>IF(f_year="",TRUE,FALSE)</f>
        <v>0</v>
      </c>
      <c r="J50" s="166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64"/>
      <c r="AX50" s="1040" t="s">
        <v>1694</v>
      </c>
      <c r="AZ50" s="1040" t="s">
        <v>1437</v>
      </c>
      <c r="BE50" s="1040">
        <v>2048</v>
      </c>
      <c r="BH50" s="991" t="s">
        <v>1665</v>
      </c>
      <c r="BJ50" s="1136" t="s">
        <v>1071</v>
      </c>
      <c r="BL50" s="1136" t="s">
        <v>1071</v>
      </c>
    </row>
    <row r="51" spans="1:64" ht="11.25" customHeight="1">
      <c r="A51" s="997" t="s">
        <v>1695</v>
      </c>
      <c r="E51" s="344" t="s">
        <v>1696</v>
      </c>
      <c r="F51" s="1036" t="s">
        <v>1697</v>
      </c>
      <c r="G51" s="1037" t="str">
        <f ca="1">IFERROR(IF(TITLE_PERIOD_START="","01.01."&amp;CURRENT_YEAR,"01.01."&amp;YEAR(TITLE_PERIOD_START)),"01.01."&amp;CURRENT_YEAR)</f>
        <v>01.01.2024</v>
      </c>
      <c r="H51" s="1037" t="str">
        <f ca="1">IFERROR(IF(TITLE_PERIOD_END="","31.12."&amp;CURRENT_YEAR,"31.12."&amp;YEAR(TITLE_PERIOD_END)),"31.12."&amp;CURRENT_YEAR)</f>
        <v>31.12.2024</v>
      </c>
      <c r="I51" s="1661" t="b">
        <f>IF(OR(TITLE_PERIOD_START="",TITLE_PERIOD_END=""),TRUE,FALSE)</f>
        <v>1</v>
      </c>
      <c r="J51" s="166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4"/>
      <c r="AX51" s="1040" t="s">
        <v>1698</v>
      </c>
      <c r="AZ51" s="1040" t="s">
        <v>1450</v>
      </c>
      <c r="BE51" s="1040">
        <v>2049</v>
      </c>
      <c r="BH51" s="991" t="s">
        <v>1674</v>
      </c>
      <c r="BJ51" s="1136" t="s">
        <v>1699</v>
      </c>
      <c r="BL51" s="1136" t="s">
        <v>1699</v>
      </c>
    </row>
    <row r="52" spans="1:64" ht="11.25" customHeight="1">
      <c r="A52" s="997" t="s">
        <v>1700</v>
      </c>
      <c r="E52" s="344" t="s">
        <v>1701</v>
      </c>
      <c r="F52" s="1036" t="s">
        <v>1702</v>
      </c>
      <c r="G52" s="1037" t="str">
        <f ca="1">IFERROR(IF(TITLE_PERIOD_START="","01.01."&amp;CURRENT_YEAR,"01.01."&amp;YEAR(TITLE_PERIOD_START)),"01.01."&amp;CURRENT_YEAR)</f>
        <v>01.01.2024</v>
      </c>
      <c r="H52" s="1037" t="str">
        <f ca="1">IFERROR(IF(TITLE_PERIOD_END="","31.12."&amp;CURRENT_YEAR,"31.12."&amp;YEAR(TITLE_PERIOD_END)),"31.12."&amp;CURRENT_YEAR)</f>
        <v>31.12.2024</v>
      </c>
      <c r="I52" s="1661" t="b">
        <f>IF(OR(TITLE_PERIOD_START="",TITLE_PERIOD_END=""),TRUE,FALSE)</f>
        <v>1</v>
      </c>
      <c r="J52" s="1663" t="str">
        <f>"Показатели, подлежащие раскрытию в сфере "&amp;TEMPLATE_SPHERE_RUS&amp;" (цены и тарифы)"</f>
        <v>Показатели, подлежащие раскрытию в сфере водоотведения (цены и тарифы)</v>
      </c>
      <c r="K52" s="1664"/>
      <c r="AX52" s="1040" t="s">
        <v>1703</v>
      </c>
      <c r="AZ52" s="1040" t="s">
        <v>1251</v>
      </c>
      <c r="BE52" s="1040">
        <v>2050</v>
      </c>
      <c r="BH52" s="991" t="s">
        <v>1678</v>
      </c>
      <c r="BJ52" s="1136" t="s">
        <v>1082</v>
      </c>
      <c r="BL52" s="1136" t="s">
        <v>1082</v>
      </c>
    </row>
    <row r="53" spans="1:64" ht="11.25" customHeight="1">
      <c r="A53" s="997" t="s">
        <v>1704</v>
      </c>
      <c r="E53" s="344" t="s">
        <v>1705</v>
      </c>
      <c r="F53" s="1036" t="s">
        <v>1705</v>
      </c>
      <c r="G53" s="1037" t="str">
        <f>IFERROR(IF(f_year="","01.01."&amp;CURRENT_YEAR,"01.01."&amp;f_year),"01.01."&amp;CURRENT_YEAR)</f>
        <v>01.01.2023</v>
      </c>
      <c r="H53" s="1037" t="str">
        <f>IFERROR(IF(f_year="","31.12."&amp;CURRENT_YEAR,"31.12."&amp;f_year),"31.12."&amp;CURRENT_YEAR)</f>
        <v>31.12.2023</v>
      </c>
      <c r="I53" s="1660" t="b">
        <f>IF(AND(f_year="",TITLE_DATE_FIL=""),TRUE,FALSE)</f>
        <v>0</v>
      </c>
      <c r="J53" s="1663" t="s">
        <v>1706</v>
      </c>
      <c r="K53" s="1664"/>
      <c r="AX53" s="1040" t="s">
        <v>1707</v>
      </c>
      <c r="BE53" s="1040">
        <v>2051</v>
      </c>
      <c r="BH53" s="991" t="s">
        <v>1682</v>
      </c>
      <c r="BJ53" s="1136" t="s">
        <v>1654</v>
      </c>
      <c r="BL53" s="1136" t="s">
        <v>1654</v>
      </c>
    </row>
    <row r="54" spans="1:64" ht="11.25" customHeight="1">
      <c r="A54" s="997" t="s">
        <v>1708</v>
      </c>
      <c r="AX54" s="1040" t="s">
        <v>1709</v>
      </c>
      <c r="AZ54" s="990" t="s">
        <v>1710</v>
      </c>
      <c r="BE54" s="1040">
        <v>2052</v>
      </c>
      <c r="BH54" s="991" t="s">
        <v>1687</v>
      </c>
      <c r="BJ54" s="1136" t="s">
        <v>1658</v>
      </c>
      <c r="BL54" s="1136" t="s">
        <v>1658</v>
      </c>
    </row>
    <row r="55" spans="1:64" ht="11.25" customHeight="1">
      <c r="A55" s="997" t="s">
        <v>1711</v>
      </c>
      <c r="AX55" s="1040" t="s">
        <v>1712</v>
      </c>
      <c r="AZ55" s="1040" t="s">
        <v>1253</v>
      </c>
      <c r="BE55" s="1040">
        <v>2053</v>
      </c>
      <c r="BH55" s="993" t="s">
        <v>22</v>
      </c>
      <c r="BJ55" s="1136" t="s">
        <v>1083</v>
      </c>
      <c r="BL55" s="1136" t="s">
        <v>1083</v>
      </c>
    </row>
    <row r="56" spans="1:64" ht="11.25" customHeight="1">
      <c r="A56" s="997" t="s">
        <v>1713</v>
      </c>
      <c r="D56" s="1039" t="s">
        <v>1714</v>
      </c>
      <c r="E56" s="1017" t="s">
        <v>110</v>
      </c>
      <c r="F56" s="997" t="s">
        <v>1715</v>
      </c>
      <c r="AX56" s="1040" t="s">
        <v>1716</v>
      </c>
      <c r="AZ56" s="1040" t="s">
        <v>1281</v>
      </c>
      <c r="BE56" s="1040">
        <v>2054</v>
      </c>
      <c r="BH56" s="993" t="s">
        <v>22</v>
      </c>
      <c r="BJ56" s="1136" t="s">
        <v>1665</v>
      </c>
      <c r="BL56" s="1136" t="s">
        <v>1665</v>
      </c>
    </row>
    <row r="57" spans="1:64" ht="11.25" customHeight="1">
      <c r="A57" s="997" t="s">
        <v>1717</v>
      </c>
      <c r="D57" s="1039" t="s">
        <v>1718</v>
      </c>
      <c r="E57" s="1017" t="s">
        <v>110</v>
      </c>
      <c r="F57" s="997" t="s">
        <v>1715</v>
      </c>
      <c r="AX57" s="1040" t="s">
        <v>1719</v>
      </c>
      <c r="AZ57" s="1040" t="s">
        <v>1316</v>
      </c>
      <c r="BE57" s="1040">
        <v>2055</v>
      </c>
      <c r="BJ57" s="1136" t="s">
        <v>1674</v>
      </c>
      <c r="BL57" s="1136" t="s">
        <v>1674</v>
      </c>
    </row>
    <row r="58" spans="1:64" ht="11.25" customHeight="1">
      <c r="A58" s="997" t="s">
        <v>1720</v>
      </c>
      <c r="D58" s="1039" t="s">
        <v>1721</v>
      </c>
      <c r="E58" s="1017" t="s">
        <v>1707</v>
      </c>
      <c r="F58" s="997" t="s">
        <v>1715</v>
      </c>
      <c r="AX58" s="1040" t="s">
        <v>1722</v>
      </c>
      <c r="BE58" s="1040">
        <v>2056</v>
      </c>
      <c r="BJ58" s="1136" t="s">
        <v>1678</v>
      </c>
      <c r="BL58" s="1136" t="s">
        <v>1678</v>
      </c>
    </row>
    <row r="59" spans="1:64" ht="11.25" customHeight="1">
      <c r="A59" s="997" t="s">
        <v>1723</v>
      </c>
      <c r="D59" s="1039" t="s">
        <v>131</v>
      </c>
      <c r="E59" s="1017" t="s">
        <v>1610</v>
      </c>
      <c r="F59" s="997" t="s">
        <v>1724</v>
      </c>
      <c r="AX59" s="1040" t="s">
        <v>1725</v>
      </c>
      <c r="AZ59" s="990" t="s">
        <v>1726</v>
      </c>
      <c r="BE59" s="1040">
        <v>2057</v>
      </c>
      <c r="BJ59" s="1136" t="s">
        <v>1682</v>
      </c>
      <c r="BL59" s="1136" t="s">
        <v>1682</v>
      </c>
    </row>
    <row r="60" spans="1:64" ht="11.25" customHeight="1">
      <c r="A60" s="997" t="s">
        <v>1727</v>
      </c>
      <c r="D60" s="1039" t="s">
        <v>1728</v>
      </c>
      <c r="E60" s="1017" t="s">
        <v>1610</v>
      </c>
      <c r="F60" s="997" t="s">
        <v>1724</v>
      </c>
      <c r="AX60" s="1040" t="s">
        <v>1729</v>
      </c>
      <c r="AZ60" s="1040" t="s">
        <v>1254</v>
      </c>
      <c r="BE60" s="1040">
        <v>2058</v>
      </c>
      <c r="BJ60" s="1136" t="s">
        <v>1687</v>
      </c>
      <c r="BL60" s="1136" t="s">
        <v>1687</v>
      </c>
    </row>
    <row r="61" spans="1:64" ht="11.25" customHeight="1">
      <c r="A61" s="997" t="s">
        <v>16</v>
      </c>
      <c r="D61" s="1039" t="s">
        <v>1730</v>
      </c>
      <c r="E61" s="1017" t="s">
        <v>1610</v>
      </c>
      <c r="F61" s="997" t="s">
        <v>1724</v>
      </c>
      <c r="AX61" s="1040" t="s">
        <v>1731</v>
      </c>
      <c r="AZ61" s="1040" t="s">
        <v>1282</v>
      </c>
      <c r="BE61" s="1040">
        <v>2059</v>
      </c>
      <c r="BL61" s="1136" t="s">
        <v>1075</v>
      </c>
    </row>
    <row r="62" spans="1:64" ht="11.25" customHeight="1">
      <c r="A62" s="997" t="s">
        <v>1732</v>
      </c>
      <c r="D62" s="1039" t="s">
        <v>130</v>
      </c>
      <c r="E62" s="1017">
        <v>30</v>
      </c>
      <c r="F62" s="997" t="s">
        <v>1724</v>
      </c>
      <c r="AZ62" s="1040" t="s">
        <v>1317</v>
      </c>
      <c r="BE62" s="1040">
        <v>2060</v>
      </c>
      <c r="BL62" s="1136" t="s">
        <v>1077</v>
      </c>
    </row>
    <row r="63" spans="1:64" ht="11.25" customHeight="1">
      <c r="A63" s="997" t="s">
        <v>1733</v>
      </c>
      <c r="D63" s="1039" t="s">
        <v>1734</v>
      </c>
      <c r="E63" s="1017">
        <v>30</v>
      </c>
      <c r="F63" s="997" t="s">
        <v>1724</v>
      </c>
      <c r="AZ63" s="1040" t="s">
        <v>1349</v>
      </c>
      <c r="BE63" s="1040">
        <v>2061</v>
      </c>
    </row>
    <row r="64" spans="1:64" ht="11.25" customHeight="1">
      <c r="A64" s="997" t="s">
        <v>1735</v>
      </c>
      <c r="D64" s="1039" t="s">
        <v>1736</v>
      </c>
      <c r="E64" s="1017">
        <v>30</v>
      </c>
      <c r="F64" s="997" t="s">
        <v>1724</v>
      </c>
      <c r="AZ64" s="1040" t="s">
        <v>1372</v>
      </c>
      <c r="BE64" s="1040">
        <v>2062</v>
      </c>
    </row>
    <row r="65" spans="1:66" ht="11.25" customHeight="1">
      <c r="A65" s="997" t="s">
        <v>1737</v>
      </c>
      <c r="D65" s="997"/>
      <c r="BE65" s="1040">
        <v>2063</v>
      </c>
    </row>
    <row r="66" spans="1:66" ht="11.25" customHeight="1">
      <c r="A66" s="997" t="s">
        <v>1738</v>
      </c>
      <c r="AZ66" s="990" t="s">
        <v>1739</v>
      </c>
      <c r="BE66" s="1040">
        <v>2064</v>
      </c>
    </row>
    <row r="67" spans="1:66" ht="11.25" customHeight="1">
      <c r="A67" s="997" t="s">
        <v>1740</v>
      </c>
      <c r="AZ67" s="1040" t="s">
        <v>1255</v>
      </c>
      <c r="BE67" s="1040">
        <v>2065</v>
      </c>
    </row>
    <row r="68" spans="1:66" ht="11.25" customHeight="1">
      <c r="A68" s="997" t="s">
        <v>1741</v>
      </c>
      <c r="AZ68" s="1040" t="s">
        <v>1283</v>
      </c>
      <c r="BE68" s="1040">
        <v>2066</v>
      </c>
      <c r="BH68" s="990" t="s">
        <v>1742</v>
      </c>
      <c r="BJ68" s="990" t="s">
        <v>1743</v>
      </c>
      <c r="BL68" s="990" t="s">
        <v>1744</v>
      </c>
      <c r="BN68" s="990" t="s">
        <v>1745</v>
      </c>
    </row>
    <row r="69" spans="1:66" ht="11.25" customHeight="1">
      <c r="A69" s="997" t="s">
        <v>1746</v>
      </c>
      <c r="AZ69" s="1040" t="s">
        <v>1318</v>
      </c>
      <c r="BE69" s="1040">
        <v>2067</v>
      </c>
      <c r="BH69" s="991" t="s">
        <v>1747</v>
      </c>
      <c r="BI69" s="1038" t="s">
        <v>108</v>
      </c>
      <c r="BJ69" s="991" t="s">
        <v>1748</v>
      </c>
      <c r="BK69" s="1038" t="s">
        <v>108</v>
      </c>
      <c r="BL69" s="991" t="s">
        <v>1749</v>
      </c>
      <c r="BM69" s="993" t="s">
        <v>108</v>
      </c>
      <c r="BN69" s="991" t="s">
        <v>1750</v>
      </c>
    </row>
    <row r="70" spans="1:66" ht="11.25" customHeight="1">
      <c r="A70" s="997" t="s">
        <v>1751</v>
      </c>
      <c r="AZ70" s="1040" t="s">
        <v>1350</v>
      </c>
      <c r="BE70" s="1040">
        <v>2068</v>
      </c>
      <c r="BH70" s="991" t="s">
        <v>1752</v>
      </c>
      <c r="BJ70" s="991" t="s">
        <v>1753</v>
      </c>
      <c r="BL70" s="991" t="s">
        <v>1754</v>
      </c>
      <c r="BN70" s="991" t="s">
        <v>1755</v>
      </c>
    </row>
    <row r="71" spans="1:66" ht="11.25" customHeight="1">
      <c r="A71" s="997" t="s">
        <v>1756</v>
      </c>
      <c r="AZ71" s="1040" t="s">
        <v>1352</v>
      </c>
      <c r="BE71" s="1040">
        <v>2069</v>
      </c>
      <c r="BH71" s="991" t="s">
        <v>1757</v>
      </c>
      <c r="BI71" s="1038" t="s">
        <v>89</v>
      </c>
      <c r="BJ71" s="991" t="s">
        <v>1758</v>
      </c>
      <c r="BK71" s="1038" t="s">
        <v>89</v>
      </c>
      <c r="BL71" s="991" t="s">
        <v>1033</v>
      </c>
      <c r="BM71" s="993" t="s">
        <v>89</v>
      </c>
      <c r="BN71" s="991" t="s">
        <v>1759</v>
      </c>
    </row>
    <row r="72" spans="1:66" ht="11.25" customHeight="1">
      <c r="A72" s="997" t="s">
        <v>1760</v>
      </c>
      <c r="AZ72" s="1040" t="s">
        <v>19</v>
      </c>
      <c r="BE72" s="1040">
        <v>2070</v>
      </c>
      <c r="BH72" s="991" t="s">
        <v>1761</v>
      </c>
      <c r="BJ72" s="991" t="s">
        <v>1761</v>
      </c>
      <c r="BL72" s="991" t="s">
        <v>1761</v>
      </c>
      <c r="BN72" s="991" t="s">
        <v>1762</v>
      </c>
    </row>
    <row r="73" spans="1:66" ht="11.25" customHeight="1">
      <c r="A73" s="997" t="s">
        <v>1763</v>
      </c>
      <c r="BH73" s="991" t="s">
        <v>1764</v>
      </c>
      <c r="BI73" s="1038" t="s">
        <v>110</v>
      </c>
      <c r="BJ73" s="991" t="s">
        <v>1765</v>
      </c>
      <c r="BK73" s="1038" t="s">
        <v>110</v>
      </c>
      <c r="BL73" s="991" t="s">
        <v>1766</v>
      </c>
      <c r="BM73" s="993" t="s">
        <v>110</v>
      </c>
      <c r="BN73" s="991" t="s">
        <v>1767</v>
      </c>
    </row>
    <row r="74" spans="1:66" ht="11.25" customHeight="1">
      <c r="A74" s="997" t="s">
        <v>1768</v>
      </c>
      <c r="BH74" s="991" t="s">
        <v>1769</v>
      </c>
      <c r="BJ74" s="991" t="s">
        <v>1770</v>
      </c>
      <c r="BL74" s="991" t="s">
        <v>1771</v>
      </c>
      <c r="BN74" s="991" t="s">
        <v>1772</v>
      </c>
    </row>
    <row r="75" spans="1:66" ht="11.25" customHeight="1">
      <c r="A75" s="997" t="s">
        <v>1773</v>
      </c>
      <c r="AZ75" s="990" t="s">
        <v>1774</v>
      </c>
      <c r="BH75" s="991" t="s">
        <v>1775</v>
      </c>
      <c r="BJ75" s="991" t="s">
        <v>1775</v>
      </c>
      <c r="BL75" s="991" t="s">
        <v>1775</v>
      </c>
    </row>
    <row r="76" spans="1:66" ht="11.25" customHeight="1">
      <c r="A76" s="997" t="s">
        <v>1776</v>
      </c>
      <c r="AZ76" s="1040" t="s">
        <v>1264</v>
      </c>
      <c r="BH76" s="991" t="s">
        <v>1777</v>
      </c>
      <c r="BJ76" s="991" t="s">
        <v>1778</v>
      </c>
      <c r="BL76" s="991" t="s">
        <v>1779</v>
      </c>
    </row>
    <row r="77" spans="1:66" ht="11.25" customHeight="1">
      <c r="A77" s="997" t="s">
        <v>1780</v>
      </c>
      <c r="AZ77" s="1040" t="s">
        <v>1293</v>
      </c>
    </row>
    <row r="78" spans="1:66" ht="11.25" customHeight="1">
      <c r="A78" s="997" t="s">
        <v>1781</v>
      </c>
      <c r="AZ78" s="1040" t="s">
        <v>1325</v>
      </c>
    </row>
    <row r="79" spans="1:66" ht="11.25" customHeight="1">
      <c r="A79" s="997" t="s">
        <v>1782</v>
      </c>
      <c r="AZ79" s="1040" t="s">
        <v>1356</v>
      </c>
      <c r="BH79" s="990" t="s">
        <v>1783</v>
      </c>
      <c r="BJ79" s="990" t="s">
        <v>1784</v>
      </c>
      <c r="BL79" s="990" t="s">
        <v>1785</v>
      </c>
    </row>
    <row r="80" spans="1:66" ht="11.25" customHeight="1">
      <c r="A80" s="997" t="s">
        <v>1786</v>
      </c>
      <c r="AZ80" s="1040" t="s">
        <v>1377</v>
      </c>
      <c r="BH80" s="991" t="s">
        <v>1787</v>
      </c>
      <c r="BJ80" s="991" t="s">
        <v>1788</v>
      </c>
      <c r="BL80" s="991" t="s">
        <v>1789</v>
      </c>
    </row>
    <row r="81" spans="1:66" ht="11.25" customHeight="1">
      <c r="A81" s="997" t="s">
        <v>1790</v>
      </c>
      <c r="AZ81" s="1040" t="s">
        <v>1394</v>
      </c>
      <c r="BH81" s="991" t="s">
        <v>1791</v>
      </c>
      <c r="BJ81" s="991" t="s">
        <v>1792</v>
      </c>
      <c r="BL81" s="991" t="s">
        <v>1793</v>
      </c>
    </row>
    <row r="82" spans="1:66" ht="11.25" customHeight="1">
      <c r="A82" s="997" t="s">
        <v>1794</v>
      </c>
      <c r="AZ82" s="1040" t="s">
        <v>1409</v>
      </c>
      <c r="BH82" s="991" t="s">
        <v>1795</v>
      </c>
      <c r="BJ82" s="991" t="s">
        <v>1796</v>
      </c>
      <c r="BL82" s="991" t="s">
        <v>1797</v>
      </c>
    </row>
    <row r="83" spans="1:66" ht="11.25" customHeight="1">
      <c r="A83" s="997" t="s">
        <v>1798</v>
      </c>
      <c r="BH83" s="991" t="s">
        <v>1799</v>
      </c>
      <c r="BJ83" s="991" t="s">
        <v>1800</v>
      </c>
      <c r="BL83" s="991" t="s">
        <v>1801</v>
      </c>
    </row>
    <row r="84" spans="1:66" ht="11.25" customHeight="1">
      <c r="A84" s="997" t="s">
        <v>1802</v>
      </c>
      <c r="AZ84" s="990" t="s">
        <v>1803</v>
      </c>
    </row>
    <row r="85" spans="1:66" ht="11.25" customHeight="1">
      <c r="A85" s="1786" t="s">
        <v>1804</v>
      </c>
      <c r="AZ85" s="1040" t="s">
        <v>1805</v>
      </c>
    </row>
    <row r="86" spans="1:66" ht="11.25" customHeight="1">
      <c r="A86" s="997" t="s">
        <v>1806</v>
      </c>
      <c r="AZ86" s="1040" t="s">
        <v>1807</v>
      </c>
      <c r="BH86" s="990" t="s">
        <v>1808</v>
      </c>
      <c r="BJ86" s="990" t="s">
        <v>1809</v>
      </c>
      <c r="BL86" s="990" t="s">
        <v>1032</v>
      </c>
    </row>
    <row r="87" spans="1:66" ht="11.25" customHeight="1">
      <c r="A87" s="997" t="s">
        <v>1810</v>
      </c>
      <c r="AZ87" s="1040" t="s">
        <v>1811</v>
      </c>
      <c r="BH87" s="991" t="s">
        <v>1812</v>
      </c>
      <c r="BJ87" s="991" t="s">
        <v>1813</v>
      </c>
      <c r="BL87" s="991" t="s">
        <v>1034</v>
      </c>
    </row>
    <row r="88" spans="1:66" ht="11.25" customHeight="1">
      <c r="A88" s="997" t="s">
        <v>1814</v>
      </c>
      <c r="AZ88" s="1525"/>
      <c r="BH88" s="991" t="s">
        <v>1815</v>
      </c>
      <c r="BJ88" s="991" t="s">
        <v>1816</v>
      </c>
      <c r="BL88" s="991" t="s">
        <v>1817</v>
      </c>
    </row>
    <row r="89" spans="1:66" ht="11.25" customHeight="1">
      <c r="A89" s="997" t="s">
        <v>1818</v>
      </c>
      <c r="AZ89" s="990" t="s">
        <v>1819</v>
      </c>
    </row>
    <row r="90" spans="1:66" ht="11.25" customHeight="1">
      <c r="A90" s="997" t="s">
        <v>1820</v>
      </c>
      <c r="AZ90" s="1040" t="s">
        <v>1053</v>
      </c>
    </row>
    <row r="91" spans="1:66" ht="11.25" customHeight="1">
      <c r="A91" s="997" t="s">
        <v>1821</v>
      </c>
      <c r="AZ91" s="1040" t="s">
        <v>1089</v>
      </c>
      <c r="BH91" s="990" t="s">
        <v>1822</v>
      </c>
      <c r="BJ91" s="990" t="s">
        <v>1823</v>
      </c>
      <c r="BL91" s="990" t="s">
        <v>1824</v>
      </c>
    </row>
    <row r="92" spans="1:66" ht="11.25" customHeight="1">
      <c r="AZ92" s="1040" t="s">
        <v>1825</v>
      </c>
      <c r="BH92" s="991" t="s">
        <v>1826</v>
      </c>
      <c r="BJ92" s="991" t="s">
        <v>1827</v>
      </c>
      <c r="BL92" s="991" t="s">
        <v>1828</v>
      </c>
    </row>
    <row r="93" spans="1:66" ht="11.25" customHeight="1">
      <c r="AZ93" s="1040" t="s">
        <v>1829</v>
      </c>
      <c r="BH93" s="991" t="s">
        <v>1830</v>
      </c>
      <c r="BJ93" s="991" t="s">
        <v>1831</v>
      </c>
      <c r="BL93" s="991" t="s">
        <v>1832</v>
      </c>
    </row>
    <row r="94" spans="1:66" ht="11.25" customHeight="1">
      <c r="AZ94" s="1040" t="s">
        <v>1833</v>
      </c>
    </row>
    <row r="96" spans="1:66" ht="11.25" customHeight="1">
      <c r="AZ96" s="990" t="s">
        <v>1834</v>
      </c>
      <c r="BH96" s="990" t="s">
        <v>1835</v>
      </c>
      <c r="BJ96" s="990" t="s">
        <v>1836</v>
      </c>
      <c r="BL96" s="990" t="s">
        <v>1837</v>
      </c>
      <c r="BN96" s="990" t="s">
        <v>1838</v>
      </c>
    </row>
    <row r="97" spans="52:66" ht="11.25" customHeight="1">
      <c r="AZ97" s="1817" t="s">
        <v>1839</v>
      </c>
      <c r="BA97" s="1818" t="s">
        <v>1840</v>
      </c>
      <c r="BH97" s="991" t="s">
        <v>1841</v>
      </c>
      <c r="BJ97" s="991" t="s">
        <v>1842</v>
      </c>
      <c r="BL97" s="991" t="s">
        <v>1843</v>
      </c>
      <c r="BN97" s="991" t="s">
        <v>1844</v>
      </c>
    </row>
    <row r="98" spans="52:66" ht="11.25" customHeight="1">
      <c r="AZ98" s="1817" t="s">
        <v>1845</v>
      </c>
      <c r="BA98" s="1818" t="s">
        <v>1846</v>
      </c>
      <c r="BH98" s="991" t="s">
        <v>1847</v>
      </c>
      <c r="BJ98" s="991" t="s">
        <v>1848</v>
      </c>
      <c r="BL98" s="991" t="s">
        <v>1849</v>
      </c>
      <c r="BN98" s="991" t="s">
        <v>1850</v>
      </c>
    </row>
    <row r="99" spans="52:66" ht="22.5" customHeight="1">
      <c r="AZ99" s="1817" t="s">
        <v>1851</v>
      </c>
      <c r="BA99" s="181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1" t="s">
        <v>1852</v>
      </c>
      <c r="BJ99" s="991" t="s">
        <v>1853</v>
      </c>
      <c r="BL99" s="991" t="s">
        <v>1854</v>
      </c>
      <c r="BN99" s="991" t="s">
        <v>1855</v>
      </c>
    </row>
    <row r="100" spans="52:66" ht="22.5" customHeight="1">
      <c r="AZ100" s="1817" t="s">
        <v>1856</v>
      </c>
      <c r="BA100" s="181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1" t="s">
        <v>1450</v>
      </c>
      <c r="BL100" s="991" t="s">
        <v>1450</v>
      </c>
      <c r="BN100" s="991" t="s">
        <v>1857</v>
      </c>
    </row>
    <row r="101" spans="52:66" ht="22.5" customHeight="1">
      <c r="AZ101" s="1817" t="s">
        <v>1858</v>
      </c>
      <c r="BA101" s="1818" t="s">
        <v>1859</v>
      </c>
      <c r="BN101" s="991" t="s">
        <v>1860</v>
      </c>
    </row>
    <row r="102" spans="52:66" ht="22.5" customHeight="1">
      <c r="AZ102" s="1817" t="s">
        <v>1861</v>
      </c>
      <c r="BA102" s="181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1" t="s">
        <v>1862</v>
      </c>
    </row>
    <row r="103" spans="52:66" ht="11.25" customHeight="1">
      <c r="AZ103" s="1817" t="s">
        <v>1863</v>
      </c>
      <c r="BA103" s="1818" t="s">
        <v>1864</v>
      </c>
      <c r="BN103" s="991" t="s">
        <v>1865</v>
      </c>
    </row>
    <row r="104" spans="52:66" ht="11.25" customHeight="1">
      <c r="BN104" s="991" t="s">
        <v>1866</v>
      </c>
    </row>
    <row r="105" spans="52:66" ht="11.25" customHeight="1">
      <c r="AZ105" s="1611" t="s">
        <v>1867</v>
      </c>
    </row>
    <row r="106" spans="52:66" ht="11.25" customHeight="1">
      <c r="AZ106" s="1040" t="s">
        <v>1868</v>
      </c>
    </row>
    <row r="107" spans="52:66" ht="11.25" customHeight="1">
      <c r="AZ107" s="1040" t="s">
        <v>1869</v>
      </c>
      <c r="BH107" s="990" t="s">
        <v>1870</v>
      </c>
      <c r="BJ107" s="990" t="s">
        <v>1871</v>
      </c>
      <c r="BL107" s="990" t="s">
        <v>1872</v>
      </c>
      <c r="BN107" s="990" t="s">
        <v>1873</v>
      </c>
    </row>
    <row r="108" spans="52:66" ht="11.25" customHeight="1">
      <c r="AZ108" s="1040" t="s">
        <v>569</v>
      </c>
      <c r="BH108" s="991" t="s">
        <v>1874</v>
      </c>
      <c r="BJ108" s="991" t="s">
        <v>1875</v>
      </c>
      <c r="BL108" s="991" t="s">
        <v>1533</v>
      </c>
      <c r="BN108" s="991" t="s">
        <v>1876</v>
      </c>
    </row>
    <row r="109" spans="52:66" ht="11.25" customHeight="1">
      <c r="BH109" s="991" t="s">
        <v>1877</v>
      </c>
    </row>
    <row r="110" spans="52:66" ht="11.25" customHeight="1">
      <c r="AZ110" s="1611" t="s">
        <v>1878</v>
      </c>
      <c r="BH110" s="991" t="s">
        <v>1877</v>
      </c>
    </row>
    <row r="111" spans="52:66" ht="11.25" customHeight="1">
      <c r="AZ111" s="1817" t="s">
        <v>1839</v>
      </c>
      <c r="BA111" s="1818" t="s">
        <v>1840</v>
      </c>
    </row>
    <row r="112" spans="52:66" ht="11.25" customHeight="1">
      <c r="AZ112" s="1817" t="s">
        <v>1845</v>
      </c>
      <c r="BA112" s="1818" t="s">
        <v>1846</v>
      </c>
    </row>
    <row r="113" spans="52:60" ht="22.5" customHeight="1">
      <c r="AZ113" s="1817" t="s">
        <v>1851</v>
      </c>
      <c r="BA113" s="181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7" t="s">
        <v>1856</v>
      </c>
      <c r="BA114" s="181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0" t="s">
        <v>1879</v>
      </c>
    </row>
    <row r="115" spans="52:60" ht="22.5" customHeight="1">
      <c r="AZ115" s="1817" t="s">
        <v>1861</v>
      </c>
      <c r="BA115" s="181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1" t="s">
        <v>1251</v>
      </c>
    </row>
    <row r="116" spans="52:60" ht="11.25" customHeight="1">
      <c r="AZ116" s="1817" t="s">
        <v>1863</v>
      </c>
      <c r="BA116" s="1818" t="s">
        <v>1864</v>
      </c>
      <c r="BH116" s="991" t="s">
        <v>1279</v>
      </c>
    </row>
    <row r="117" spans="52:60" ht="11.25" customHeight="1">
      <c r="BH117" s="991" t="s">
        <v>1314</v>
      </c>
    </row>
    <row r="118" spans="52:60" ht="11.25" customHeight="1">
      <c r="BH118" s="991" t="s">
        <v>1347</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2263" hidden="1" customWidth="1"/>
    <col min="3" max="3" width="3" style="2266" customWidth="1"/>
    <col min="4" max="4" width="6" style="2267" customWidth="1"/>
    <col min="5" max="5" width="52" style="2266" customWidth="1"/>
    <col min="6" max="6" width="48" style="2266" customWidth="1"/>
    <col min="7" max="7" width="93" style="2266" customWidth="1"/>
    <col min="8" max="8" width="8" style="2266" customWidth="1"/>
    <col min="9" max="9" width="64" style="2266" customWidth="1"/>
    <col min="10" max="10" width="9.140625" style="2266" hidden="1"/>
  </cols>
  <sheetData>
    <row r="1" spans="1:10" ht="11.25" hidden="1" customHeight="1">
      <c r="A1" s="438" t="s">
        <v>297</v>
      </c>
      <c r="J1" s="392" t="s">
        <v>14</v>
      </c>
    </row>
    <row r="2" spans="1:10" ht="22.5" hidden="1" customHeight="1">
      <c r="A2" s="439"/>
      <c r="B2" s="439"/>
      <c r="C2" s="1648" t="s">
        <v>575</v>
      </c>
      <c r="D2" s="1439"/>
      <c r="E2" s="1445"/>
      <c r="F2" s="1468"/>
      <c r="H2" s="412"/>
      <c r="J2" s="392">
        <v>0</v>
      </c>
    </row>
    <row r="3" spans="1:10" ht="11.25" hidden="1" customHeight="1">
      <c r="J3" s="392">
        <v>0</v>
      </c>
    </row>
    <row r="4" spans="1:10" ht="11.45" customHeight="1">
      <c r="A4" s="1469"/>
      <c r="B4" s="1469"/>
      <c r="J4" s="392">
        <v>11</v>
      </c>
    </row>
    <row r="5" spans="1:10" ht="27.4" customHeight="1">
      <c r="D5" s="235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357"/>
      <c r="F5" s="2358"/>
      <c r="I5" s="652"/>
      <c r="J5" s="392">
        <v>26</v>
      </c>
    </row>
    <row r="6" spans="1:10" ht="18" customHeight="1">
      <c r="D6" s="2412" t="str">
        <f>IF(region_name=0,"Не определено",region_name)</f>
        <v>Республика Марий Эл</v>
      </c>
      <c r="E6" s="2412"/>
      <c r="F6" s="2412"/>
      <c r="I6" s="652"/>
      <c r="J6" s="392">
        <v>17</v>
      </c>
    </row>
    <row r="7" spans="1:10" s="2262" customFormat="1" ht="11.45" customHeight="1">
      <c r="A7" s="438"/>
      <c r="B7" s="438"/>
      <c r="D7" s="651"/>
      <c r="E7" s="651"/>
      <c r="F7" s="689"/>
      <c r="G7" s="651"/>
      <c r="J7" s="414">
        <v>11</v>
      </c>
    </row>
    <row r="8" spans="1:10" ht="11.25" hidden="1" customHeight="1">
      <c r="A8" s="439"/>
      <c r="B8" s="439"/>
      <c r="C8" s="394"/>
      <c r="D8" s="400"/>
      <c r="E8" s="2440"/>
      <c r="F8" s="2440"/>
      <c r="J8" s="392">
        <v>0</v>
      </c>
    </row>
    <row r="9" spans="1:10" ht="11.45" customHeight="1">
      <c r="A9" s="439"/>
      <c r="B9" s="439"/>
      <c r="C9" s="394"/>
      <c r="D9" s="2437" t="s">
        <v>298</v>
      </c>
      <c r="E9" s="2438"/>
      <c r="F9" s="2438"/>
      <c r="G9" s="2441" t="s">
        <v>299</v>
      </c>
      <c r="J9" s="392">
        <v>11</v>
      </c>
    </row>
    <row r="10" spans="1:10" ht="11.45" customHeight="1">
      <c r="A10" s="439"/>
      <c r="B10" s="439"/>
      <c r="C10" s="394"/>
      <c r="D10" s="1393" t="s">
        <v>87</v>
      </c>
      <c r="E10" s="1395" t="s">
        <v>300</v>
      </c>
      <c r="F10" s="1395" t="s">
        <v>301</v>
      </c>
      <c r="G10" s="2442"/>
      <c r="J10" s="392">
        <v>11</v>
      </c>
    </row>
    <row r="11" spans="1:10" ht="1.1499999999999999" customHeight="1">
      <c r="A11" s="439"/>
      <c r="B11" s="439"/>
      <c r="C11" s="394"/>
      <c r="D11" s="401"/>
      <c r="E11" s="401"/>
      <c r="F11" s="401"/>
      <c r="G11" s="401"/>
      <c r="J11" s="392">
        <v>1</v>
      </c>
    </row>
    <row r="12" spans="1:10" ht="24" customHeight="1">
      <c r="A12" s="439"/>
      <c r="B12" s="439"/>
      <c r="C12" s="394"/>
      <c r="D12" s="1439">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24" t="str">
        <f>IF(org="","",org)</f>
        <v>МУП "Водоканал"</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52"/>
      <c r="J12" s="392">
        <v>23</v>
      </c>
    </row>
    <row r="13" spans="1:10" ht="19.899999999999999" customHeight="1">
      <c r="A13" s="439"/>
      <c r="B13" s="439"/>
      <c r="C13" s="394"/>
      <c r="D13" s="1439">
        <v>2</v>
      </c>
      <c r="E13" s="1446" t="s">
        <v>1880</v>
      </c>
      <c r="F13" s="1440" t="s">
        <v>304</v>
      </c>
      <c r="G13" s="411"/>
      <c r="H13" s="1452"/>
      <c r="J13" s="392">
        <v>19</v>
      </c>
    </row>
    <row r="14" spans="1:10" ht="19.899999999999999" customHeight="1">
      <c r="A14" s="439"/>
      <c r="B14" s="439"/>
      <c r="C14" s="394"/>
      <c r="D14" s="1442" t="s">
        <v>709</v>
      </c>
      <c r="E14" s="1443" t="s">
        <v>1881</v>
      </c>
      <c r="F14" s="1445"/>
      <c r="G14" s="1444" t="s">
        <v>1882</v>
      </c>
      <c r="H14" s="1452"/>
      <c r="J14" s="392">
        <v>19</v>
      </c>
    </row>
    <row r="15" spans="1:10" ht="19.899999999999999" customHeight="1">
      <c r="A15" s="439"/>
      <c r="B15" s="439"/>
      <c r="C15" s="394"/>
      <c r="D15" s="1442" t="s">
        <v>305</v>
      </c>
      <c r="E15" s="1443" t="s">
        <v>1883</v>
      </c>
      <c r="F15" s="1445"/>
      <c r="G15" s="1444" t="s">
        <v>1884</v>
      </c>
      <c r="H15" s="1452"/>
      <c r="J15" s="392">
        <v>19</v>
      </c>
    </row>
    <row r="16" spans="1:10" ht="24" customHeight="1">
      <c r="A16" s="439"/>
      <c r="B16" s="439"/>
      <c r="C16" s="394"/>
      <c r="D16" s="1442" t="s">
        <v>308</v>
      </c>
      <c r="E16" s="1441" t="s">
        <v>1885</v>
      </c>
      <c r="F16" s="1450"/>
      <c r="G16" s="411" t="s">
        <v>1886</v>
      </c>
      <c r="H16" s="1452"/>
      <c r="J16" s="392">
        <v>23</v>
      </c>
    </row>
    <row r="17" spans="1:10" ht="48.2" customHeight="1">
      <c r="A17" s="439"/>
      <c r="B17" s="439"/>
      <c r="C17" s="394"/>
      <c r="D17" s="1439">
        <v>3</v>
      </c>
      <c r="E17" s="1446" t="s">
        <v>1887</v>
      </c>
      <c r="F17" s="1445"/>
      <c r="G17" s="411" t="s">
        <v>1888</v>
      </c>
      <c r="H17" s="1452"/>
      <c r="J17" s="392">
        <v>46</v>
      </c>
    </row>
    <row r="18" spans="1:10" ht="48.2" customHeight="1">
      <c r="A18" s="1394">
        <v>1</v>
      </c>
      <c r="B18" s="439"/>
      <c r="C18" s="1396"/>
      <c r="D18" s="1439" t="s">
        <v>90</v>
      </c>
      <c r="E18" s="1446" t="s">
        <v>1889</v>
      </c>
      <c r="F18" s="1445"/>
      <c r="G18" s="411" t="s">
        <v>1888</v>
      </c>
      <c r="H18" s="1452"/>
      <c r="I18" s="779"/>
      <c r="J18" s="392">
        <v>46</v>
      </c>
    </row>
    <row r="19" spans="1:10" ht="23.25" customHeight="1">
      <c r="A19" s="439"/>
      <c r="B19" s="439"/>
      <c r="C19" s="394"/>
      <c r="D19" s="1439" t="s">
        <v>110</v>
      </c>
      <c r="E19" s="1446" t="s">
        <v>1890</v>
      </c>
      <c r="F19" s="1440" t="s">
        <v>304</v>
      </c>
      <c r="G19" s="2691" t="s">
        <v>1891</v>
      </c>
      <c r="H19" s="412"/>
      <c r="J19" s="392">
        <v>22</v>
      </c>
    </row>
    <row r="20" spans="1:10" s="2301" customFormat="1" ht="5.25" hidden="1" customHeight="1">
      <c r="A20" s="439"/>
      <c r="B20" s="439"/>
      <c r="C20" s="1448"/>
      <c r="D20" s="1447" t="s">
        <v>1153</v>
      </c>
      <c r="E20" s="938"/>
      <c r="F20" s="937"/>
      <c r="G20" s="2692"/>
      <c r="J20" s="1449">
        <v>0</v>
      </c>
    </row>
    <row r="21" spans="1:10" ht="15.75" customHeight="1">
      <c r="A21" s="439"/>
      <c r="B21" s="439"/>
      <c r="C21" s="394"/>
      <c r="D21" s="404"/>
      <c r="E21" s="352" t="s">
        <v>337</v>
      </c>
      <c r="F21" s="406"/>
      <c r="G21" s="2693"/>
      <c r="H21" s="1452"/>
      <c r="J21" s="392">
        <v>15</v>
      </c>
    </row>
    <row r="22" spans="1:10" s="2263" customFormat="1" ht="26.25" customHeight="1">
      <c r="A22" s="439"/>
      <c r="B22" s="439"/>
      <c r="C22" s="439"/>
      <c r="D22" s="1439" t="s">
        <v>91</v>
      </c>
      <c r="E22" s="411" t="s">
        <v>1892</v>
      </c>
      <c r="F22" s="1445"/>
      <c r="G22" s="411" t="s">
        <v>1893</v>
      </c>
      <c r="H22" s="1451"/>
      <c r="J22" s="438">
        <v>25</v>
      </c>
    </row>
    <row r="23" spans="1:10" s="2263" customFormat="1" ht="19.899999999999999" customHeight="1">
      <c r="A23" s="439"/>
      <c r="B23" s="439"/>
      <c r="C23" s="439"/>
      <c r="D23" s="1439" t="s">
        <v>92</v>
      </c>
      <c r="E23" s="1446" t="s">
        <v>1894</v>
      </c>
      <c r="F23" s="1450"/>
      <c r="G23" s="411" t="s">
        <v>1895</v>
      </c>
      <c r="H23" s="1451"/>
      <c r="J23" s="438">
        <v>19</v>
      </c>
    </row>
    <row r="24" spans="1:10" s="2263" customFormat="1" ht="144" hidden="1" customHeight="1">
      <c r="A24" s="439"/>
      <c r="B24" s="439"/>
      <c r="C24" s="439"/>
      <c r="D24" s="1439" t="s">
        <v>111</v>
      </c>
      <c r="E24" s="181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14"/>
      <c r="G24" s="181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1"/>
      <c r="J24" s="438">
        <v>0</v>
      </c>
    </row>
    <row r="25" spans="1:10" ht="11.25" hidden="1" customHeight="1">
      <c r="A25" s="438" t="s">
        <v>81</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2238" hidden="1"/>
    <col min="2" max="2" width="9.140625" style="2244" hidden="1"/>
    <col min="3" max="3" width="3.7109375" style="2238" hidden="1" customWidth="1"/>
    <col min="4" max="4" width="3" style="2250" customWidth="1"/>
    <col min="5" max="5" width="6" style="2238" customWidth="1"/>
    <col min="6" max="6" width="46" style="2238" customWidth="1"/>
    <col min="7" max="8" width="16" style="2238" customWidth="1"/>
    <col min="9" max="9" width="35" style="2238" customWidth="1"/>
    <col min="10" max="10" width="89" style="2238" customWidth="1"/>
    <col min="11" max="11" width="3" style="2251" customWidth="1"/>
    <col min="12" max="14" width="8" style="2251" customWidth="1"/>
    <col min="15" max="15" width="25" style="2251" customWidth="1"/>
    <col min="16" max="16" width="14" style="2251" customWidth="1"/>
    <col min="17" max="20" width="8" style="2252" customWidth="1"/>
    <col min="21" max="254" width="8" style="2238" customWidth="1"/>
    <col min="255" max="255" width="9.140625" style="2238" hidden="1"/>
  </cols>
  <sheetData>
    <row r="1" spans="1:255" ht="22.5" hidden="1" customHeight="1">
      <c r="F1" s="1550" t="s">
        <v>1896</v>
      </c>
      <c r="G1" s="1550" t="s">
        <v>47</v>
      </c>
      <c r="H1" s="1550" t="s">
        <v>49</v>
      </c>
      <c r="IU1" s="1074" t="s">
        <v>14</v>
      </c>
    </row>
    <row r="2" spans="1:255" s="2248" customFormat="1" ht="22.5" hidden="1" customHeight="1">
      <c r="A2" s="762"/>
      <c r="B2" s="1079">
        <v>1</v>
      </c>
      <c r="C2" s="1079"/>
      <c r="D2" s="1841" t="s">
        <v>575</v>
      </c>
      <c r="E2" s="1403"/>
      <c r="F2" s="1410"/>
      <c r="G2" s="1410"/>
      <c r="H2" s="1410"/>
      <c r="I2" s="1897"/>
      <c r="J2" s="1898"/>
      <c r="K2" s="1454"/>
      <c r="L2" s="448"/>
      <c r="M2" s="448"/>
      <c r="N2" s="437" t="str">
        <f t="array" ref="N2">IF(ISERROR(MATCH(MID(O2,1,250),MID(note_ter,1,250),0)),"n","y")</f>
        <v>n</v>
      </c>
      <c r="O2" s="448"/>
      <c r="P2" s="437" t="str">
        <f>G2&amp;"("&amp;J2&amp;")"</f>
        <v>()</v>
      </c>
      <c r="Q2" s="1079"/>
      <c r="R2" s="1079"/>
      <c r="S2" s="357"/>
      <c r="T2" s="1079"/>
      <c r="U2" s="1079"/>
      <c r="V2" s="1079"/>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2245" customFormat="1" ht="4.1500000000000004" customHeight="1">
      <c r="A3" s="433"/>
      <c r="D3" s="431"/>
      <c r="F3" s="184" t="s">
        <v>82</v>
      </c>
      <c r="G3" s="431" t="s">
        <v>83</v>
      </c>
      <c r="H3" s="431"/>
      <c r="I3" s="431"/>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2247" customFormat="1" ht="14.65" customHeight="1">
      <c r="A4" s="1074"/>
      <c r="B4" s="1079"/>
      <c r="C4" s="1074"/>
      <c r="D4" s="1414"/>
      <c r="E4" s="446"/>
      <c r="F4" s="1561"/>
      <c r="G4" s="446"/>
      <c r="H4" s="446"/>
      <c r="I4" s="446"/>
      <c r="J4" s="103"/>
      <c r="K4" s="184"/>
      <c r="L4" s="437"/>
      <c r="M4" s="437"/>
      <c r="N4" s="437"/>
      <c r="O4" s="163"/>
      <c r="P4" s="437"/>
      <c r="Q4" s="162"/>
      <c r="R4" s="162"/>
      <c r="S4" s="162"/>
      <c r="T4" s="162"/>
      <c r="IU4" s="444">
        <v>14</v>
      </c>
    </row>
    <row r="5" spans="1:255" s="2247" customFormat="1" ht="27.4" customHeight="1">
      <c r="A5" s="1074"/>
      <c r="B5" s="1079"/>
      <c r="C5" s="1074"/>
      <c r="D5" s="1414"/>
      <c r="E5" s="233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339"/>
      <c r="G5" s="2339"/>
      <c r="H5" s="2339"/>
      <c r="I5" s="2339"/>
      <c r="J5" s="2339"/>
      <c r="K5" s="184"/>
      <c r="L5" s="437"/>
      <c r="M5" s="437"/>
      <c r="N5" s="437"/>
      <c r="O5" s="163"/>
      <c r="P5" s="437"/>
      <c r="Q5" s="162"/>
      <c r="R5" s="162"/>
      <c r="S5" s="162"/>
      <c r="T5" s="162"/>
      <c r="IU5" s="444">
        <v>26</v>
      </c>
    </row>
    <row r="6" spans="1:255" s="2247" customFormat="1" ht="14.65" customHeight="1">
      <c r="A6" s="1074"/>
      <c r="B6" s="1079"/>
      <c r="C6" s="1074"/>
      <c r="D6" s="1414"/>
      <c r="E6" s="446"/>
      <c r="F6" s="104"/>
      <c r="G6" s="104"/>
      <c r="H6" s="104"/>
      <c r="I6" s="104"/>
      <c r="J6" s="105"/>
      <c r="K6" s="437"/>
      <c r="L6" s="437"/>
      <c r="M6" s="437"/>
      <c r="N6" s="437"/>
      <c r="O6" s="163"/>
      <c r="P6" s="437"/>
      <c r="Q6" s="162"/>
      <c r="R6" s="162"/>
      <c r="S6" s="162"/>
      <c r="T6" s="162"/>
      <c r="IU6" s="444">
        <v>14</v>
      </c>
    </row>
    <row r="7" spans="1:255" s="2247" customFormat="1" ht="14.65" customHeight="1">
      <c r="A7" s="1074"/>
      <c r="B7" s="1079"/>
      <c r="C7" s="1074"/>
      <c r="D7" s="1414"/>
      <c r="E7" s="2335" t="s">
        <v>298</v>
      </c>
      <c r="F7" s="2340"/>
      <c r="G7" s="2340"/>
      <c r="H7" s="2340"/>
      <c r="I7" s="2340"/>
      <c r="J7" s="2694" t="s">
        <v>299</v>
      </c>
      <c r="K7" s="437"/>
      <c r="L7" s="437"/>
      <c r="M7" s="437"/>
      <c r="N7" s="437"/>
      <c r="O7" s="163"/>
      <c r="P7" s="437"/>
      <c r="Q7" s="162"/>
      <c r="R7" s="162"/>
      <c r="S7" s="162"/>
      <c r="T7" s="162"/>
      <c r="IU7" s="444">
        <v>14</v>
      </c>
    </row>
    <row r="8" spans="1:255" s="2247" customFormat="1" ht="21" customHeight="1">
      <c r="A8" s="1074"/>
      <c r="B8" s="1079"/>
      <c r="C8" s="1074"/>
      <c r="D8" s="1414"/>
      <c r="E8" s="1467" t="s">
        <v>87</v>
      </c>
      <c r="F8" s="1459" t="s">
        <v>1896</v>
      </c>
      <c r="G8" s="1459" t="s">
        <v>47</v>
      </c>
      <c r="H8" s="1459" t="s">
        <v>49</v>
      </c>
      <c r="I8" s="1459" t="s">
        <v>1897</v>
      </c>
      <c r="J8" s="2695"/>
      <c r="K8" s="437"/>
      <c r="L8" s="437"/>
      <c r="M8" s="437"/>
      <c r="N8" s="437"/>
      <c r="O8" s="163"/>
      <c r="P8" s="437"/>
      <c r="Q8" s="162"/>
      <c r="R8" s="162"/>
      <c r="S8" s="162"/>
      <c r="T8" s="162"/>
      <c r="IU8" s="444">
        <v>20</v>
      </c>
    </row>
    <row r="9" spans="1:255" s="2248" customFormat="1" ht="23.25" customHeight="1">
      <c r="A9" s="1550"/>
      <c r="B9" s="1079">
        <v>1</v>
      </c>
      <c r="C9" s="1079"/>
      <c r="D9" s="732"/>
      <c r="E9" s="1403">
        <v>1</v>
      </c>
      <c r="F9" s="1466"/>
      <c r="G9" s="1410"/>
      <c r="H9" s="1410"/>
      <c r="I9" s="1457"/>
      <c r="J9" s="240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4"/>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9"/>
      <c r="R9" s="1079"/>
      <c r="S9" s="357"/>
      <c r="T9" s="1079"/>
      <c r="U9" s="1079"/>
      <c r="V9" s="1079"/>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2248" customFormat="1" ht="15.75" customHeight="1">
      <c r="A10" s="1550"/>
      <c r="B10" s="1079"/>
      <c r="C10" s="349"/>
      <c r="D10" s="732"/>
      <c r="E10" s="1460"/>
      <c r="F10" s="1419" t="s">
        <v>1898</v>
      </c>
      <c r="G10" s="1461"/>
      <c r="H10" s="1461"/>
      <c r="I10" s="1815"/>
      <c r="J10" s="2407"/>
      <c r="K10" s="1455"/>
      <c r="L10" s="448"/>
      <c r="M10" s="448"/>
      <c r="N10" s="448"/>
      <c r="O10" s="437"/>
      <c r="P10" s="448"/>
      <c r="Q10" s="1079"/>
      <c r="R10" s="1079"/>
      <c r="S10" s="357"/>
      <c r="T10" s="1079"/>
      <c r="U10" s="1079"/>
      <c r="V10" s="1079"/>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2247" customFormat="1" ht="21.95" customHeight="1">
      <c r="A11" s="1074"/>
      <c r="B11" s="1079"/>
      <c r="C11" s="1074"/>
      <c r="D11" s="388"/>
      <c r="E11" s="117"/>
      <c r="F11" s="117"/>
      <c r="G11" s="117"/>
      <c r="H11" s="117"/>
      <c r="I11" s="117"/>
      <c r="J11" s="117"/>
      <c r="K11" s="437"/>
      <c r="L11" s="437"/>
      <c r="M11" s="437"/>
      <c r="N11" s="437"/>
      <c r="O11" s="163"/>
      <c r="P11" s="437"/>
      <c r="Q11" s="162"/>
      <c r="R11" s="162"/>
      <c r="S11" s="162"/>
      <c r="T11" s="162"/>
      <c r="IU11" s="444">
        <v>21</v>
      </c>
    </row>
    <row r="12" spans="1:255" s="2247" customFormat="1" ht="14.65" customHeight="1">
      <c r="A12" s="1074"/>
      <c r="B12" s="1079"/>
      <c r="C12" s="1074"/>
      <c r="D12" s="388"/>
      <c r="E12" s="1074"/>
      <c r="F12" s="1074"/>
      <c r="G12" s="1074"/>
      <c r="H12" s="1074"/>
      <c r="I12" s="1074"/>
      <c r="J12" s="1074"/>
      <c r="K12" s="437"/>
      <c r="L12" s="437"/>
      <c r="M12" s="437"/>
      <c r="N12" s="437"/>
      <c r="O12" s="163"/>
      <c r="P12" s="437"/>
      <c r="Q12" s="162"/>
      <c r="R12" s="162"/>
      <c r="S12" s="162"/>
      <c r="T12" s="162"/>
      <c r="IU12" s="444">
        <v>14</v>
      </c>
    </row>
    <row r="13" spans="1:255" s="2247" customFormat="1" ht="1.1499999999999999" customHeight="1">
      <c r="A13" s="1074"/>
      <c r="B13" s="1079"/>
      <c r="C13" s="1074"/>
      <c r="D13" s="388"/>
      <c r="E13" s="1074"/>
      <c r="F13" s="1074"/>
      <c r="G13" s="1074"/>
      <c r="H13" s="1074"/>
      <c r="I13" s="1074"/>
      <c r="J13" s="1074"/>
      <c r="K13" s="437"/>
      <c r="L13" s="437"/>
      <c r="M13" s="437"/>
      <c r="N13" s="437"/>
      <c r="O13" s="163"/>
      <c r="P13" s="437"/>
      <c r="Q13" s="162"/>
      <c r="R13" s="162"/>
      <c r="S13" s="162"/>
      <c r="T13" s="162"/>
      <c r="IU13" s="444">
        <v>1</v>
      </c>
    </row>
    <row r="14" spans="1:255" s="2249" customFormat="1" ht="10.5" customHeight="1">
      <c r="B14" s="765"/>
      <c r="D14" s="119"/>
      <c r="K14" s="437"/>
      <c r="L14" s="437"/>
      <c r="M14" s="437"/>
      <c r="N14" s="437"/>
      <c r="O14" s="163"/>
      <c r="P14" s="437"/>
      <c r="Q14" s="162"/>
      <c r="R14" s="162"/>
      <c r="S14" s="162"/>
      <c r="T14" s="162"/>
      <c r="IU14" s="118">
        <v>10</v>
      </c>
    </row>
    <row r="15" spans="1:255" s="2249" customFormat="1" ht="10.5" customHeight="1">
      <c r="B15" s="765"/>
      <c r="D15" s="119"/>
      <c r="K15" s="437"/>
      <c r="L15" s="437"/>
      <c r="M15" s="437"/>
      <c r="N15" s="437"/>
      <c r="O15" s="163"/>
      <c r="P15" s="437"/>
      <c r="Q15" s="162"/>
      <c r="R15" s="162"/>
      <c r="S15" s="162"/>
      <c r="T15" s="162"/>
      <c r="IU15" s="118">
        <v>10</v>
      </c>
    </row>
    <row r="16" spans="1:255" ht="14.65" customHeight="1">
      <c r="IU16" s="1074">
        <v>14</v>
      </c>
    </row>
    <row r="17" spans="1:255" ht="14.65" customHeight="1">
      <c r="IU17" s="1074">
        <v>14</v>
      </c>
    </row>
    <row r="18" spans="1:255" ht="14.65" customHeight="1">
      <c r="IU18" s="1074">
        <v>14</v>
      </c>
    </row>
    <row r="19" spans="1:255" ht="14.65" customHeight="1">
      <c r="G19" s="310"/>
      <c r="H19" s="310"/>
      <c r="I19" s="310"/>
      <c r="IU19" s="1074">
        <v>14</v>
      </c>
    </row>
    <row r="20" spans="1:255" ht="14.65" customHeight="1">
      <c r="IU20" s="1074">
        <v>14</v>
      </c>
    </row>
    <row r="21" spans="1:255" ht="14.65" customHeight="1">
      <c r="IU21" s="1074">
        <v>14</v>
      </c>
    </row>
    <row r="22" spans="1:255" ht="14.65" customHeight="1">
      <c r="IU22" s="1074">
        <v>14</v>
      </c>
    </row>
    <row r="23" spans="1:255" ht="14.65" customHeight="1">
      <c r="K23" s="1074"/>
      <c r="L23" s="1074"/>
      <c r="M23" s="1074"/>
      <c r="IU23" s="1074">
        <v>14</v>
      </c>
    </row>
    <row r="24" spans="1:255" ht="22.5" hidden="1" customHeight="1">
      <c r="A24" s="1074" t="s">
        <v>81</v>
      </c>
      <c r="B24" s="1079">
        <v>0</v>
      </c>
      <c r="C24" s="1074">
        <v>0</v>
      </c>
      <c r="D24" s="388">
        <v>3</v>
      </c>
      <c r="E24" s="1074">
        <v>6</v>
      </c>
      <c r="F24" s="1074">
        <v>46</v>
      </c>
      <c r="G24" s="1074">
        <v>16</v>
      </c>
      <c r="H24" s="1074">
        <v>16</v>
      </c>
      <c r="I24" s="1074">
        <v>35</v>
      </c>
      <c r="J24" s="1074">
        <v>89</v>
      </c>
      <c r="K24" s="437">
        <v>3</v>
      </c>
      <c r="L24" s="437">
        <v>8</v>
      </c>
      <c r="M24" s="437">
        <v>8</v>
      </c>
      <c r="N24" s="437">
        <v>8</v>
      </c>
      <c r="O24" s="163">
        <v>25</v>
      </c>
      <c r="P24" s="437">
        <v>14</v>
      </c>
      <c r="Q24" s="162">
        <v>8</v>
      </c>
      <c r="R24" s="162">
        <v>8</v>
      </c>
      <c r="S24" s="162">
        <v>8</v>
      </c>
      <c r="T24" s="162">
        <v>8</v>
      </c>
      <c r="U24" s="1074">
        <v>8</v>
      </c>
      <c r="V24" s="1074">
        <v>8</v>
      </c>
      <c r="W24" s="1074">
        <v>8</v>
      </c>
      <c r="X24" s="1074">
        <v>8</v>
      </c>
      <c r="Y24" s="1074">
        <v>8</v>
      </c>
      <c r="Z24" s="1074">
        <v>8</v>
      </c>
      <c r="AA24" s="1074">
        <v>8</v>
      </c>
      <c r="AB24" s="1074">
        <v>8</v>
      </c>
      <c r="AC24" s="1074">
        <v>8</v>
      </c>
      <c r="AD24" s="1074">
        <v>8</v>
      </c>
      <c r="AE24" s="1074">
        <v>8</v>
      </c>
      <c r="AF24" s="1074">
        <v>8</v>
      </c>
      <c r="AG24" s="1074">
        <v>8</v>
      </c>
      <c r="AH24" s="1074">
        <v>8</v>
      </c>
      <c r="AI24" s="1074">
        <v>8</v>
      </c>
      <c r="AJ24" s="1074">
        <v>8</v>
      </c>
      <c r="AK24" s="1074">
        <v>8</v>
      </c>
      <c r="AL24" s="1074">
        <v>8</v>
      </c>
      <c r="AM24" s="1074">
        <v>8</v>
      </c>
      <c r="AN24" s="1074">
        <v>8</v>
      </c>
      <c r="AO24" s="1074">
        <v>8</v>
      </c>
      <c r="AP24" s="1074">
        <v>8</v>
      </c>
      <c r="AQ24" s="1074">
        <v>8</v>
      </c>
      <c r="AR24" s="1074">
        <v>8</v>
      </c>
      <c r="AS24" s="1074">
        <v>8</v>
      </c>
      <c r="AT24" s="1074">
        <v>8</v>
      </c>
      <c r="AU24" s="1074">
        <v>8</v>
      </c>
      <c r="AV24" s="1074">
        <v>8</v>
      </c>
      <c r="AW24" s="1074">
        <v>8</v>
      </c>
      <c r="AX24" s="1074">
        <v>8</v>
      </c>
      <c r="AY24" s="1074">
        <v>8</v>
      </c>
      <c r="AZ24" s="1074">
        <v>8</v>
      </c>
      <c r="BA24" s="1074">
        <v>8</v>
      </c>
      <c r="BB24" s="1074">
        <v>8</v>
      </c>
      <c r="BC24" s="1074">
        <v>8</v>
      </c>
      <c r="BD24" s="1074">
        <v>8</v>
      </c>
      <c r="BE24" s="1074">
        <v>8</v>
      </c>
      <c r="BF24" s="1074">
        <v>8</v>
      </c>
      <c r="BG24" s="1074">
        <v>8</v>
      </c>
      <c r="BH24" s="1074">
        <v>8</v>
      </c>
      <c r="BI24" s="1074">
        <v>8</v>
      </c>
      <c r="BJ24" s="1074">
        <v>8</v>
      </c>
      <c r="BK24" s="1074">
        <v>8</v>
      </c>
      <c r="BL24" s="1074">
        <v>8</v>
      </c>
      <c r="BM24" s="1074">
        <v>8</v>
      </c>
      <c r="BN24" s="1074">
        <v>8</v>
      </c>
      <c r="BO24" s="1074">
        <v>8</v>
      </c>
      <c r="BP24" s="1074">
        <v>8</v>
      </c>
      <c r="BQ24" s="1074">
        <v>8</v>
      </c>
      <c r="BR24" s="1074">
        <v>8</v>
      </c>
      <c r="BS24" s="1074">
        <v>8</v>
      </c>
      <c r="BT24" s="1074">
        <v>8</v>
      </c>
      <c r="BU24" s="1074">
        <v>8</v>
      </c>
      <c r="BV24" s="1074">
        <v>8</v>
      </c>
      <c r="BW24" s="1074">
        <v>8</v>
      </c>
      <c r="BX24" s="1074">
        <v>8</v>
      </c>
      <c r="BY24" s="1074">
        <v>8</v>
      </c>
      <c r="BZ24" s="1074">
        <v>8</v>
      </c>
      <c r="CA24" s="1074">
        <v>8</v>
      </c>
      <c r="CB24" s="1074">
        <v>8</v>
      </c>
      <c r="CC24" s="1074">
        <v>8</v>
      </c>
      <c r="CD24" s="1074">
        <v>8</v>
      </c>
      <c r="CE24" s="1074">
        <v>8</v>
      </c>
      <c r="CF24" s="1074">
        <v>8</v>
      </c>
      <c r="CG24" s="1074">
        <v>8</v>
      </c>
      <c r="CH24" s="1074">
        <v>8</v>
      </c>
      <c r="CI24" s="1074">
        <v>8</v>
      </c>
      <c r="CJ24" s="1074">
        <v>8</v>
      </c>
      <c r="CK24" s="1074">
        <v>8</v>
      </c>
      <c r="CL24" s="1074">
        <v>8</v>
      </c>
      <c r="CM24" s="1074">
        <v>8</v>
      </c>
      <c r="CN24" s="1074">
        <v>8</v>
      </c>
      <c r="CO24" s="1074">
        <v>8</v>
      </c>
      <c r="CP24" s="1074">
        <v>8</v>
      </c>
      <c r="CQ24" s="1074">
        <v>8</v>
      </c>
      <c r="CR24" s="1074">
        <v>8</v>
      </c>
      <c r="CS24" s="1074">
        <v>8</v>
      </c>
      <c r="CT24" s="1074">
        <v>8</v>
      </c>
      <c r="CU24" s="1074">
        <v>8</v>
      </c>
      <c r="CV24" s="1074">
        <v>8</v>
      </c>
      <c r="CW24" s="1074">
        <v>8</v>
      </c>
      <c r="CX24" s="1074">
        <v>8</v>
      </c>
      <c r="CY24" s="1074">
        <v>8</v>
      </c>
      <c r="CZ24" s="1074">
        <v>8</v>
      </c>
      <c r="DA24" s="1074">
        <v>8</v>
      </c>
      <c r="DB24" s="1074">
        <v>8</v>
      </c>
      <c r="DC24" s="1074">
        <v>8</v>
      </c>
      <c r="DD24" s="1074">
        <v>8</v>
      </c>
      <c r="DE24" s="1074">
        <v>8</v>
      </c>
      <c r="DF24" s="1074">
        <v>8</v>
      </c>
      <c r="DG24" s="1074">
        <v>8</v>
      </c>
      <c r="DH24" s="1074">
        <v>8</v>
      </c>
      <c r="DI24" s="1074">
        <v>8</v>
      </c>
      <c r="DJ24" s="1074">
        <v>8</v>
      </c>
      <c r="DK24" s="1074">
        <v>8</v>
      </c>
      <c r="DL24" s="1074">
        <v>8</v>
      </c>
      <c r="DM24" s="1074">
        <v>8</v>
      </c>
      <c r="DN24" s="1074">
        <v>8</v>
      </c>
      <c r="DO24" s="1074">
        <v>8</v>
      </c>
      <c r="DP24" s="1074">
        <v>8</v>
      </c>
      <c r="DQ24" s="1074">
        <v>8</v>
      </c>
      <c r="DR24" s="1074">
        <v>8</v>
      </c>
      <c r="DS24" s="1074">
        <v>8</v>
      </c>
      <c r="DT24" s="1074">
        <v>8</v>
      </c>
      <c r="DU24" s="1074">
        <v>8</v>
      </c>
      <c r="DV24" s="1074">
        <v>8</v>
      </c>
      <c r="DW24" s="1074">
        <v>8</v>
      </c>
      <c r="DX24" s="1074">
        <v>8</v>
      </c>
      <c r="DY24" s="1074">
        <v>8</v>
      </c>
      <c r="DZ24" s="1074">
        <v>8</v>
      </c>
      <c r="EA24" s="1074">
        <v>8</v>
      </c>
      <c r="EB24" s="1074">
        <v>8</v>
      </c>
      <c r="EC24" s="1074">
        <v>8</v>
      </c>
      <c r="ED24" s="1074">
        <v>8</v>
      </c>
      <c r="EE24" s="1074">
        <v>8</v>
      </c>
      <c r="EF24" s="1074">
        <v>8</v>
      </c>
      <c r="EG24" s="1074">
        <v>8</v>
      </c>
      <c r="EH24" s="1074">
        <v>8</v>
      </c>
      <c r="EI24" s="1074">
        <v>8</v>
      </c>
      <c r="EJ24" s="1074">
        <v>8</v>
      </c>
      <c r="EK24" s="1074">
        <v>8</v>
      </c>
      <c r="EL24" s="1074">
        <v>8</v>
      </c>
      <c r="EM24" s="1074">
        <v>8</v>
      </c>
      <c r="EN24" s="1074">
        <v>8</v>
      </c>
      <c r="EO24" s="1074">
        <v>8</v>
      </c>
      <c r="EP24" s="1074">
        <v>8</v>
      </c>
      <c r="EQ24" s="1074">
        <v>8</v>
      </c>
      <c r="ER24" s="1074">
        <v>8</v>
      </c>
      <c r="ES24" s="1074">
        <v>8</v>
      </c>
      <c r="ET24" s="1074">
        <v>8</v>
      </c>
      <c r="EU24" s="1074">
        <v>8</v>
      </c>
      <c r="EV24" s="1074">
        <v>8</v>
      </c>
      <c r="EW24" s="1074">
        <v>8</v>
      </c>
      <c r="EX24" s="1074">
        <v>8</v>
      </c>
      <c r="EY24" s="1074">
        <v>8</v>
      </c>
      <c r="EZ24" s="1074">
        <v>8</v>
      </c>
      <c r="FA24" s="1074">
        <v>8</v>
      </c>
      <c r="FB24" s="1074">
        <v>8</v>
      </c>
      <c r="FC24" s="1074">
        <v>8</v>
      </c>
      <c r="FD24" s="1074">
        <v>8</v>
      </c>
      <c r="FE24" s="1074">
        <v>8</v>
      </c>
      <c r="FF24" s="1074">
        <v>8</v>
      </c>
      <c r="FG24" s="1074">
        <v>8</v>
      </c>
      <c r="FH24" s="1074">
        <v>8</v>
      </c>
      <c r="FI24" s="1074">
        <v>8</v>
      </c>
      <c r="FJ24" s="1074">
        <v>8</v>
      </c>
      <c r="FK24" s="1074">
        <v>8</v>
      </c>
      <c r="FL24" s="1074">
        <v>8</v>
      </c>
      <c r="FM24" s="1074">
        <v>8</v>
      </c>
      <c r="FN24" s="1074">
        <v>8</v>
      </c>
      <c r="FO24" s="1074">
        <v>8</v>
      </c>
      <c r="FP24" s="1074">
        <v>8</v>
      </c>
      <c r="FQ24" s="1074">
        <v>8</v>
      </c>
      <c r="FR24" s="1074">
        <v>8</v>
      </c>
      <c r="FS24" s="1074">
        <v>8</v>
      </c>
      <c r="FT24" s="1074">
        <v>8</v>
      </c>
      <c r="FU24" s="1074">
        <v>8</v>
      </c>
      <c r="FV24" s="1074">
        <v>8</v>
      </c>
      <c r="FW24" s="1074">
        <v>8</v>
      </c>
      <c r="FX24" s="1074">
        <v>8</v>
      </c>
      <c r="FY24" s="1074">
        <v>8</v>
      </c>
      <c r="FZ24" s="1074">
        <v>8</v>
      </c>
      <c r="GA24" s="1074">
        <v>8</v>
      </c>
      <c r="GB24" s="1074">
        <v>8</v>
      </c>
      <c r="GC24" s="1074">
        <v>8</v>
      </c>
      <c r="GD24" s="1074">
        <v>8</v>
      </c>
      <c r="GE24" s="1074">
        <v>8</v>
      </c>
      <c r="GF24" s="1074">
        <v>8</v>
      </c>
      <c r="GG24" s="1074">
        <v>8</v>
      </c>
      <c r="GH24" s="1074">
        <v>8</v>
      </c>
      <c r="GI24" s="1074">
        <v>8</v>
      </c>
      <c r="GJ24" s="1074">
        <v>8</v>
      </c>
      <c r="GK24" s="1074">
        <v>8</v>
      </c>
      <c r="GL24" s="1074">
        <v>8</v>
      </c>
      <c r="GM24" s="1074">
        <v>8</v>
      </c>
      <c r="GN24" s="1074">
        <v>8</v>
      </c>
      <c r="GO24" s="1074">
        <v>8</v>
      </c>
      <c r="GP24" s="1074">
        <v>8</v>
      </c>
      <c r="GQ24" s="1074">
        <v>8</v>
      </c>
      <c r="GR24" s="1074">
        <v>8</v>
      </c>
      <c r="GS24" s="1074">
        <v>8</v>
      </c>
      <c r="GT24" s="1074">
        <v>8</v>
      </c>
      <c r="GU24" s="1074">
        <v>8</v>
      </c>
      <c r="GV24" s="1074">
        <v>8</v>
      </c>
      <c r="GW24" s="1074">
        <v>8</v>
      </c>
      <c r="GX24" s="1074">
        <v>8</v>
      </c>
      <c r="GY24" s="1074">
        <v>8</v>
      </c>
      <c r="GZ24" s="1074">
        <v>8</v>
      </c>
      <c r="HA24" s="1074">
        <v>8</v>
      </c>
      <c r="HB24" s="1074">
        <v>8</v>
      </c>
      <c r="HC24" s="1074">
        <v>8</v>
      </c>
      <c r="HD24" s="1074">
        <v>8</v>
      </c>
      <c r="HE24" s="1074">
        <v>8</v>
      </c>
      <c r="HF24" s="1074">
        <v>8</v>
      </c>
      <c r="HG24" s="1074">
        <v>8</v>
      </c>
      <c r="HH24" s="1074">
        <v>8</v>
      </c>
      <c r="HI24" s="1074">
        <v>8</v>
      </c>
      <c r="HJ24" s="1074">
        <v>8</v>
      </c>
      <c r="HK24" s="1074">
        <v>8</v>
      </c>
      <c r="HL24" s="1074">
        <v>8</v>
      </c>
      <c r="HM24" s="1074">
        <v>8</v>
      </c>
      <c r="HN24" s="1074">
        <v>8</v>
      </c>
      <c r="HO24" s="1074">
        <v>8</v>
      </c>
      <c r="HP24" s="1074">
        <v>8</v>
      </c>
      <c r="HQ24" s="1074">
        <v>8</v>
      </c>
      <c r="HR24" s="1074">
        <v>8</v>
      </c>
      <c r="HS24" s="1074">
        <v>8</v>
      </c>
      <c r="HT24" s="1074">
        <v>8</v>
      </c>
      <c r="HU24" s="1074">
        <v>8</v>
      </c>
      <c r="HV24" s="1074">
        <v>8</v>
      </c>
      <c r="HW24" s="1074">
        <v>8</v>
      </c>
      <c r="HX24" s="1074">
        <v>8</v>
      </c>
      <c r="HY24" s="1074">
        <v>8</v>
      </c>
      <c r="HZ24" s="1074">
        <v>8</v>
      </c>
      <c r="IA24" s="1074">
        <v>8</v>
      </c>
      <c r="IB24" s="1074">
        <v>8</v>
      </c>
      <c r="IC24" s="1074">
        <v>8</v>
      </c>
      <c r="ID24" s="1074">
        <v>8</v>
      </c>
      <c r="IE24" s="1074">
        <v>8</v>
      </c>
      <c r="IF24" s="1074">
        <v>8</v>
      </c>
      <c r="IG24" s="1074">
        <v>8</v>
      </c>
      <c r="IH24" s="1074">
        <v>8</v>
      </c>
      <c r="II24" s="1074">
        <v>8</v>
      </c>
      <c r="IJ24" s="1074">
        <v>8</v>
      </c>
      <c r="IK24" s="1074">
        <v>8</v>
      </c>
      <c r="IL24" s="1074">
        <v>8</v>
      </c>
      <c r="IM24" s="1074">
        <v>8</v>
      </c>
      <c r="IN24" s="1074">
        <v>8</v>
      </c>
      <c r="IO24" s="1074">
        <v>8</v>
      </c>
      <c r="IP24" s="1074">
        <v>8</v>
      </c>
      <c r="IQ24" s="1074">
        <v>8</v>
      </c>
      <c r="IR24" s="1074">
        <v>8</v>
      </c>
      <c r="IS24" s="1074">
        <v>8</v>
      </c>
      <c r="IT24" s="1074">
        <v>8</v>
      </c>
      <c r="IU24" s="1074">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238" hidden="1"/>
    <col min="2" max="2" width="9.140625" style="2244" hidden="1"/>
    <col min="3" max="3" width="3.7109375" style="2238" hidden="1" customWidth="1"/>
    <col min="4" max="4" width="3" style="2250" customWidth="1"/>
    <col min="5" max="5" width="6" style="2238" customWidth="1"/>
    <col min="6" max="6" width="27" style="2238" customWidth="1"/>
    <col min="7" max="7" width="16" style="2238" customWidth="1"/>
    <col min="8" max="8" width="12" style="2238" customWidth="1"/>
    <col min="9" max="9" width="32" style="2238" customWidth="1"/>
    <col min="10" max="11" width="41" style="2238" customWidth="1"/>
    <col min="12" max="12" width="89" style="2238" customWidth="1"/>
    <col min="13" max="13" width="3" style="2251" customWidth="1"/>
    <col min="14" max="16" width="8" style="2251" customWidth="1"/>
    <col min="17" max="17" width="25" style="2251" customWidth="1"/>
    <col min="18" max="18" width="14" style="2251" customWidth="1"/>
    <col min="19" max="22" width="8" style="2252" customWidth="1"/>
    <col min="23" max="256" width="8" style="2238" customWidth="1"/>
    <col min="257" max="257" width="9.140625" style="2238" hidden="1"/>
  </cols>
  <sheetData>
    <row r="1" spans="1:257" ht="22.5" hidden="1" customHeight="1">
      <c r="IW1" s="1074" t="s">
        <v>14</v>
      </c>
    </row>
    <row r="2" spans="1:257" s="2248" customFormat="1" ht="22.5" hidden="1" customHeight="1">
      <c r="A2" s="762"/>
      <c r="B2" s="1079">
        <v>1</v>
      </c>
      <c r="C2" s="1079"/>
      <c r="D2" s="1841" t="s">
        <v>575</v>
      </c>
      <c r="E2" s="1805"/>
      <c r="F2" s="1808" t="str">
        <f>IF(ROIV_INFO_NAME="","",ROIV_INFO_NAME)</f>
        <v>МУП "Водоканал"</v>
      </c>
      <c r="G2" s="1833" t="s">
        <v>22</v>
      </c>
      <c r="H2" s="1832"/>
      <c r="I2" s="1457"/>
      <c r="J2" s="749"/>
      <c r="K2" s="749"/>
      <c r="L2" s="165"/>
      <c r="M2" s="1454" t="e">
        <f ca="1">MERGEVALUE(F2)</f>
        <v>#NAME?</v>
      </c>
      <c r="N2" s="448"/>
      <c r="O2" s="448"/>
      <c r="P2" s="437" t="str">
        <f t="array" ref="P2">IF(ISERROR(MATCH(MID(Q2,1,250),MID(note_ter,1,250),0)),"n","y")</f>
        <v>n</v>
      </c>
      <c r="Q2" s="448"/>
      <c r="R2" s="437" t="str">
        <f>G2&amp;"("&amp;L2&amp;")"</f>
        <v>()</v>
      </c>
      <c r="S2" s="1079"/>
      <c r="T2" s="1079"/>
      <c r="U2" s="357"/>
      <c r="V2" s="1079"/>
      <c r="W2" s="1079"/>
      <c r="X2" s="1079"/>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2245" customFormat="1" ht="5.25" hidden="1" customHeight="1">
      <c r="A3" s="433"/>
      <c r="D3" s="431"/>
      <c r="F3" s="184" t="s">
        <v>82</v>
      </c>
      <c r="G3" s="1653" t="s">
        <v>83</v>
      </c>
      <c r="H3" s="431"/>
      <c r="I3" s="431"/>
      <c r="J3" s="431"/>
      <c r="K3" s="431"/>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2247" customFormat="1" ht="14.65" customHeight="1">
      <c r="A4" s="1074"/>
      <c r="B4" s="1079"/>
      <c r="C4" s="1074"/>
      <c r="D4" s="1414"/>
      <c r="E4" s="446"/>
      <c r="F4" s="446"/>
      <c r="G4" s="446"/>
      <c r="H4" s="446"/>
      <c r="I4" s="446"/>
      <c r="J4" s="446"/>
      <c r="K4" s="446"/>
      <c r="L4" s="103"/>
      <c r="M4" s="184"/>
      <c r="N4" s="437"/>
      <c r="O4" s="437"/>
      <c r="P4" s="437"/>
      <c r="Q4" s="163"/>
      <c r="R4" s="437"/>
      <c r="S4" s="162"/>
      <c r="T4" s="162"/>
      <c r="U4" s="162"/>
      <c r="V4" s="162"/>
      <c r="IW4" s="444">
        <v>14</v>
      </c>
    </row>
    <row r="5" spans="1:257" s="2247" customFormat="1" ht="27.4" customHeight="1">
      <c r="A5" s="1074"/>
      <c r="B5" s="1079"/>
      <c r="C5" s="1074"/>
      <c r="D5" s="1414"/>
      <c r="E5" s="233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339"/>
      <c r="G5" s="2339"/>
      <c r="H5" s="2339"/>
      <c r="I5" s="2339"/>
      <c r="J5" s="2339"/>
      <c r="K5" s="2339"/>
      <c r="L5" s="525"/>
      <c r="M5" s="184"/>
      <c r="N5" s="437"/>
      <c r="O5" s="437"/>
      <c r="P5" s="437"/>
      <c r="Q5" s="163"/>
      <c r="R5" s="437"/>
      <c r="S5" s="162"/>
      <c r="T5" s="162"/>
      <c r="U5" s="162"/>
      <c r="V5" s="162"/>
      <c r="IW5" s="444">
        <v>26</v>
      </c>
    </row>
    <row r="6" spans="1:257" s="2247" customFormat="1" ht="14.65" customHeight="1">
      <c r="A6" s="1074"/>
      <c r="B6" s="1079"/>
      <c r="C6" s="1074"/>
      <c r="D6" s="1414"/>
      <c r="E6" s="446"/>
      <c r="F6" s="104"/>
      <c r="G6" s="104"/>
      <c r="H6" s="104"/>
      <c r="I6" s="104"/>
      <c r="J6" s="104"/>
      <c r="K6" s="104"/>
      <c r="L6" s="105"/>
      <c r="M6" s="437"/>
      <c r="N6" s="437"/>
      <c r="O6" s="437"/>
      <c r="P6" s="437"/>
      <c r="Q6" s="163"/>
      <c r="R6" s="437"/>
      <c r="S6" s="162"/>
      <c r="T6" s="162"/>
      <c r="U6" s="162"/>
      <c r="V6" s="162"/>
      <c r="IW6" s="444">
        <v>14</v>
      </c>
    </row>
    <row r="7" spans="1:257" s="2247" customFormat="1" ht="14.65" customHeight="1">
      <c r="A7" s="1074"/>
      <c r="B7" s="1079"/>
      <c r="C7" s="1074"/>
      <c r="D7" s="1414"/>
      <c r="E7" s="2335" t="s">
        <v>298</v>
      </c>
      <c r="F7" s="2340"/>
      <c r="G7" s="2340"/>
      <c r="H7" s="2340"/>
      <c r="I7" s="2340"/>
      <c r="J7" s="2340"/>
      <c r="K7" s="2340"/>
      <c r="L7" s="2694" t="s">
        <v>299</v>
      </c>
      <c r="M7" s="437"/>
      <c r="N7" s="437"/>
      <c r="O7" s="437"/>
      <c r="P7" s="437"/>
      <c r="Q7" s="163"/>
      <c r="R7" s="437"/>
      <c r="S7" s="162"/>
      <c r="T7" s="162"/>
      <c r="U7" s="162"/>
      <c r="V7" s="162"/>
      <c r="IW7" s="444">
        <v>14</v>
      </c>
    </row>
    <row r="8" spans="1:257" s="2247" customFormat="1" ht="67.150000000000006" customHeight="1">
      <c r="A8" s="1074"/>
      <c r="B8" s="1079"/>
      <c r="C8" s="1074"/>
      <c r="D8" s="1414"/>
      <c r="E8" s="2698" t="s">
        <v>87</v>
      </c>
      <c r="F8" s="269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70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701"/>
      <c r="I8" s="2702"/>
      <c r="J8" s="269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69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696"/>
      <c r="M8" s="437"/>
      <c r="N8" s="437"/>
      <c r="O8" s="437"/>
      <c r="P8" s="437"/>
      <c r="Q8" s="163"/>
      <c r="R8" s="437"/>
      <c r="S8" s="162"/>
      <c r="T8" s="162"/>
      <c r="U8" s="162"/>
      <c r="V8" s="162"/>
      <c r="IW8" s="444">
        <v>64</v>
      </c>
    </row>
    <row r="9" spans="1:257" s="2247" customFormat="1" ht="29.25" customHeight="1">
      <c r="A9" s="1074"/>
      <c r="B9" s="1079"/>
      <c r="C9" s="1074"/>
      <c r="D9" s="1414"/>
      <c r="E9" s="2699"/>
      <c r="F9" s="2699"/>
      <c r="G9" s="1456" t="s">
        <v>1899</v>
      </c>
      <c r="H9" s="1456" t="s">
        <v>1900</v>
      </c>
      <c r="I9" s="1456" t="s">
        <v>1901</v>
      </c>
      <c r="J9" s="2699"/>
      <c r="K9" s="2699"/>
      <c r="L9" s="2695"/>
      <c r="M9" s="437"/>
      <c r="N9" s="437"/>
      <c r="O9" s="437"/>
      <c r="P9" s="437"/>
      <c r="Q9" s="163"/>
      <c r="R9" s="437"/>
      <c r="S9" s="162"/>
      <c r="T9" s="162"/>
      <c r="U9" s="162"/>
      <c r="V9" s="162"/>
      <c r="IW9" s="444">
        <v>28</v>
      </c>
    </row>
    <row r="10" spans="1:257" s="2248" customFormat="1" ht="23.25" customHeight="1">
      <c r="A10" s="2338"/>
      <c r="B10" s="1079">
        <v>1</v>
      </c>
      <c r="C10" s="1079"/>
      <c r="D10" s="731"/>
      <c r="E10" s="729">
        <v>1</v>
      </c>
      <c r="F10" s="1458" t="str">
        <f>IF(ROIV_INFO_NAME="","",ROIV_INFO_NAME)</f>
        <v>МУП "Водоканал"</v>
      </c>
      <c r="G10" s="1650" t="s">
        <v>22</v>
      </c>
      <c r="H10" s="1832"/>
      <c r="I10" s="1453"/>
      <c r="J10" s="749"/>
      <c r="K10" s="749"/>
      <c r="L10" s="266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79"/>
      <c r="T10" s="1079"/>
      <c r="U10" s="357"/>
      <c r="V10" s="1079"/>
      <c r="W10" s="1079"/>
      <c r="X10" s="1079"/>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2248" customFormat="1" ht="15.75" customHeight="1">
      <c r="A11" s="2338"/>
      <c r="B11" s="1079"/>
      <c r="C11" s="349"/>
      <c r="D11" s="732"/>
      <c r="E11" s="358"/>
      <c r="F11" s="353" t="s">
        <v>1902</v>
      </c>
      <c r="G11" s="124"/>
      <c r="H11" s="124"/>
      <c r="I11" s="124"/>
      <c r="J11" s="124"/>
      <c r="K11" s="361"/>
      <c r="L11" s="2697"/>
      <c r="M11" s="1455"/>
      <c r="N11" s="448"/>
      <c r="O11" s="448"/>
      <c r="P11" s="448"/>
      <c r="Q11" s="437"/>
      <c r="R11" s="448"/>
      <c r="S11" s="1079"/>
      <c r="T11" s="1079"/>
      <c r="U11" s="357"/>
      <c r="V11" s="1079"/>
      <c r="W11" s="1079"/>
      <c r="X11" s="1079"/>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2247" customFormat="1" ht="21.95" customHeight="1">
      <c r="A12" s="1074"/>
      <c r="B12" s="1079"/>
      <c r="C12" s="1074"/>
      <c r="D12" s="388"/>
      <c r="E12" s="117"/>
      <c r="F12" s="117"/>
      <c r="G12" s="117"/>
      <c r="H12" s="117"/>
      <c r="I12" s="117"/>
      <c r="J12" s="117"/>
      <c r="K12" s="117"/>
      <c r="L12" s="117"/>
      <c r="M12" s="437"/>
      <c r="N12" s="437"/>
      <c r="O12" s="437"/>
      <c r="P12" s="437"/>
      <c r="Q12" s="163"/>
      <c r="R12" s="437"/>
      <c r="S12" s="162"/>
      <c r="T12" s="162"/>
      <c r="U12" s="162"/>
      <c r="V12" s="162"/>
      <c r="IW12" s="444">
        <v>21</v>
      </c>
    </row>
    <row r="13" spans="1:257" s="2247" customFormat="1" ht="14.65" customHeight="1">
      <c r="A13" s="1074"/>
      <c r="B13" s="1079"/>
      <c r="C13" s="1074"/>
      <c r="D13" s="388"/>
      <c r="E13" s="1074"/>
      <c r="F13" s="1074"/>
      <c r="G13" s="1074"/>
      <c r="H13" s="1074"/>
      <c r="I13" s="1074"/>
      <c r="J13" s="1074"/>
      <c r="K13" s="1074"/>
      <c r="L13" s="1074"/>
      <c r="M13" s="437"/>
      <c r="N13" s="437"/>
      <c r="O13" s="437"/>
      <c r="P13" s="437"/>
      <c r="Q13" s="163"/>
      <c r="R13" s="437"/>
      <c r="S13" s="162"/>
      <c r="T13" s="162"/>
      <c r="U13" s="162"/>
      <c r="V13" s="162"/>
      <c r="IW13" s="444">
        <v>14</v>
      </c>
    </row>
    <row r="14" spans="1:257" s="2247" customFormat="1" ht="1.1499999999999999" customHeight="1">
      <c r="A14" s="1074"/>
      <c r="B14" s="1079"/>
      <c r="C14" s="1074"/>
      <c r="D14" s="388"/>
      <c r="E14" s="1074"/>
      <c r="F14" s="1074"/>
      <c r="G14" s="1074"/>
      <c r="H14" s="1074"/>
      <c r="I14" s="1074"/>
      <c r="J14" s="1074"/>
      <c r="K14" s="1074"/>
      <c r="L14" s="1074"/>
      <c r="M14" s="437"/>
      <c r="N14" s="437"/>
      <c r="O14" s="437"/>
      <c r="P14" s="437"/>
      <c r="Q14" s="163"/>
      <c r="R14" s="437"/>
      <c r="S14" s="162"/>
      <c r="T14" s="162"/>
      <c r="U14" s="162"/>
      <c r="V14" s="162"/>
      <c r="IW14" s="444">
        <v>1</v>
      </c>
    </row>
    <row r="15" spans="1:257" ht="22.5" hidden="1" customHeight="1">
      <c r="A15" s="1074" t="s">
        <v>81</v>
      </c>
      <c r="B15" s="1079">
        <v>0</v>
      </c>
      <c r="C15" s="1074">
        <v>0</v>
      </c>
      <c r="D15" s="388">
        <v>3</v>
      </c>
      <c r="E15" s="1074">
        <v>6</v>
      </c>
      <c r="F15" s="1074">
        <v>27</v>
      </c>
      <c r="G15" s="1074">
        <v>16</v>
      </c>
      <c r="H15" s="1074">
        <v>12</v>
      </c>
      <c r="I15" s="1074">
        <v>32</v>
      </c>
      <c r="J15" s="1074">
        <v>41</v>
      </c>
      <c r="K15" s="1074">
        <v>41</v>
      </c>
      <c r="L15" s="1074">
        <v>89</v>
      </c>
      <c r="M15" s="437">
        <v>3</v>
      </c>
      <c r="N15" s="437">
        <v>8</v>
      </c>
      <c r="O15" s="437">
        <v>8</v>
      </c>
      <c r="P15" s="437">
        <v>8</v>
      </c>
      <c r="Q15" s="163">
        <v>25</v>
      </c>
      <c r="R15" s="437">
        <v>14</v>
      </c>
      <c r="S15" s="162">
        <v>8</v>
      </c>
      <c r="T15" s="162">
        <v>8</v>
      </c>
      <c r="U15" s="162">
        <v>8</v>
      </c>
      <c r="V15" s="162">
        <v>8</v>
      </c>
      <c r="W15" s="1074">
        <v>8</v>
      </c>
      <c r="X15" s="1074">
        <v>8</v>
      </c>
      <c r="Y15" s="1074">
        <v>8</v>
      </c>
      <c r="Z15" s="1074">
        <v>8</v>
      </c>
      <c r="AA15" s="1074">
        <v>8</v>
      </c>
      <c r="AB15" s="1074">
        <v>8</v>
      </c>
      <c r="AC15" s="1074">
        <v>8</v>
      </c>
      <c r="AD15" s="1074">
        <v>8</v>
      </c>
      <c r="AE15" s="1074">
        <v>8</v>
      </c>
      <c r="AF15" s="1074">
        <v>8</v>
      </c>
      <c r="AG15" s="1074">
        <v>8</v>
      </c>
      <c r="AH15" s="1074">
        <v>8</v>
      </c>
      <c r="AI15" s="1074">
        <v>8</v>
      </c>
      <c r="AJ15" s="1074">
        <v>8</v>
      </c>
      <c r="AK15" s="1074">
        <v>8</v>
      </c>
      <c r="AL15" s="1074">
        <v>8</v>
      </c>
      <c r="AM15" s="1074">
        <v>8</v>
      </c>
      <c r="AN15" s="1074">
        <v>8</v>
      </c>
      <c r="AO15" s="1074">
        <v>8</v>
      </c>
      <c r="AP15" s="1074">
        <v>8</v>
      </c>
      <c r="AQ15" s="1074">
        <v>8</v>
      </c>
      <c r="AR15" s="1074">
        <v>8</v>
      </c>
      <c r="AS15" s="1074">
        <v>8</v>
      </c>
      <c r="AT15" s="1074">
        <v>8</v>
      </c>
      <c r="AU15" s="1074">
        <v>8</v>
      </c>
      <c r="AV15" s="1074">
        <v>8</v>
      </c>
      <c r="AW15" s="1074">
        <v>8</v>
      </c>
      <c r="AX15" s="1074">
        <v>8</v>
      </c>
      <c r="AY15" s="1074">
        <v>8</v>
      </c>
      <c r="AZ15" s="1074">
        <v>8</v>
      </c>
      <c r="BA15" s="1074">
        <v>8</v>
      </c>
      <c r="BB15" s="1074">
        <v>8</v>
      </c>
      <c r="BC15" s="1074">
        <v>8</v>
      </c>
      <c r="BD15" s="1074">
        <v>8</v>
      </c>
      <c r="BE15" s="1074">
        <v>8</v>
      </c>
      <c r="BF15" s="1074">
        <v>8</v>
      </c>
      <c r="BG15" s="1074">
        <v>8</v>
      </c>
      <c r="BH15" s="1074">
        <v>8</v>
      </c>
      <c r="BI15" s="1074">
        <v>8</v>
      </c>
      <c r="BJ15" s="1074">
        <v>8</v>
      </c>
      <c r="BK15" s="1074">
        <v>8</v>
      </c>
      <c r="BL15" s="1074">
        <v>8</v>
      </c>
      <c r="BM15" s="1074">
        <v>8</v>
      </c>
      <c r="BN15" s="1074">
        <v>8</v>
      </c>
      <c r="BO15" s="1074">
        <v>8</v>
      </c>
      <c r="BP15" s="1074">
        <v>8</v>
      </c>
      <c r="BQ15" s="1074">
        <v>8</v>
      </c>
      <c r="BR15" s="1074">
        <v>8</v>
      </c>
      <c r="BS15" s="1074">
        <v>8</v>
      </c>
      <c r="BT15" s="1074">
        <v>8</v>
      </c>
      <c r="BU15" s="1074">
        <v>8</v>
      </c>
      <c r="BV15" s="1074">
        <v>8</v>
      </c>
      <c r="BW15" s="1074">
        <v>8</v>
      </c>
      <c r="BX15" s="1074">
        <v>8</v>
      </c>
      <c r="BY15" s="1074">
        <v>8</v>
      </c>
      <c r="BZ15" s="1074">
        <v>8</v>
      </c>
      <c r="CA15" s="1074">
        <v>8</v>
      </c>
      <c r="CB15" s="1074">
        <v>8</v>
      </c>
      <c r="CC15" s="1074">
        <v>8</v>
      </c>
      <c r="CD15" s="1074">
        <v>8</v>
      </c>
      <c r="CE15" s="1074">
        <v>8</v>
      </c>
      <c r="CF15" s="1074">
        <v>8</v>
      </c>
      <c r="CG15" s="1074">
        <v>8</v>
      </c>
      <c r="CH15" s="1074">
        <v>8</v>
      </c>
      <c r="CI15" s="1074">
        <v>8</v>
      </c>
      <c r="CJ15" s="1074">
        <v>8</v>
      </c>
      <c r="CK15" s="1074">
        <v>8</v>
      </c>
      <c r="CL15" s="1074">
        <v>8</v>
      </c>
      <c r="CM15" s="1074">
        <v>8</v>
      </c>
      <c r="CN15" s="1074">
        <v>8</v>
      </c>
      <c r="CO15" s="1074">
        <v>8</v>
      </c>
      <c r="CP15" s="1074">
        <v>8</v>
      </c>
      <c r="CQ15" s="1074">
        <v>8</v>
      </c>
      <c r="CR15" s="1074">
        <v>8</v>
      </c>
      <c r="CS15" s="1074">
        <v>8</v>
      </c>
      <c r="CT15" s="1074">
        <v>8</v>
      </c>
      <c r="CU15" s="1074">
        <v>8</v>
      </c>
      <c r="CV15" s="1074">
        <v>8</v>
      </c>
      <c r="CW15" s="1074">
        <v>8</v>
      </c>
      <c r="CX15" s="1074">
        <v>8</v>
      </c>
      <c r="CY15" s="1074">
        <v>8</v>
      </c>
      <c r="CZ15" s="1074">
        <v>8</v>
      </c>
      <c r="DA15" s="1074">
        <v>8</v>
      </c>
      <c r="DB15" s="1074">
        <v>8</v>
      </c>
      <c r="DC15" s="1074">
        <v>8</v>
      </c>
      <c r="DD15" s="1074">
        <v>8</v>
      </c>
      <c r="DE15" s="1074">
        <v>8</v>
      </c>
      <c r="DF15" s="1074">
        <v>8</v>
      </c>
      <c r="DG15" s="1074">
        <v>8</v>
      </c>
      <c r="DH15" s="1074">
        <v>8</v>
      </c>
      <c r="DI15" s="1074">
        <v>8</v>
      </c>
      <c r="DJ15" s="1074">
        <v>8</v>
      </c>
      <c r="DK15" s="1074">
        <v>8</v>
      </c>
      <c r="DL15" s="1074">
        <v>8</v>
      </c>
      <c r="DM15" s="1074">
        <v>8</v>
      </c>
      <c r="DN15" s="1074">
        <v>8</v>
      </c>
      <c r="DO15" s="1074">
        <v>8</v>
      </c>
      <c r="DP15" s="1074">
        <v>8</v>
      </c>
      <c r="DQ15" s="1074">
        <v>8</v>
      </c>
      <c r="DR15" s="1074">
        <v>8</v>
      </c>
      <c r="DS15" s="1074">
        <v>8</v>
      </c>
      <c r="DT15" s="1074">
        <v>8</v>
      </c>
      <c r="DU15" s="1074">
        <v>8</v>
      </c>
      <c r="DV15" s="1074">
        <v>8</v>
      </c>
      <c r="DW15" s="1074">
        <v>8</v>
      </c>
      <c r="DX15" s="1074">
        <v>8</v>
      </c>
      <c r="DY15" s="1074">
        <v>8</v>
      </c>
      <c r="DZ15" s="1074">
        <v>8</v>
      </c>
      <c r="EA15" s="1074">
        <v>8</v>
      </c>
      <c r="EB15" s="1074">
        <v>8</v>
      </c>
      <c r="EC15" s="1074">
        <v>8</v>
      </c>
      <c r="ED15" s="1074">
        <v>8</v>
      </c>
      <c r="EE15" s="1074">
        <v>8</v>
      </c>
      <c r="EF15" s="1074">
        <v>8</v>
      </c>
      <c r="EG15" s="1074">
        <v>8</v>
      </c>
      <c r="EH15" s="1074">
        <v>8</v>
      </c>
      <c r="EI15" s="1074">
        <v>8</v>
      </c>
      <c r="EJ15" s="1074">
        <v>8</v>
      </c>
      <c r="EK15" s="1074">
        <v>8</v>
      </c>
      <c r="EL15" s="1074">
        <v>8</v>
      </c>
      <c r="EM15" s="1074">
        <v>8</v>
      </c>
      <c r="EN15" s="1074">
        <v>8</v>
      </c>
      <c r="EO15" s="1074">
        <v>8</v>
      </c>
      <c r="EP15" s="1074">
        <v>8</v>
      </c>
      <c r="EQ15" s="1074">
        <v>8</v>
      </c>
      <c r="ER15" s="1074">
        <v>8</v>
      </c>
      <c r="ES15" s="1074">
        <v>8</v>
      </c>
      <c r="ET15" s="1074">
        <v>8</v>
      </c>
      <c r="EU15" s="1074">
        <v>8</v>
      </c>
      <c r="EV15" s="1074">
        <v>8</v>
      </c>
      <c r="EW15" s="1074">
        <v>8</v>
      </c>
      <c r="EX15" s="1074">
        <v>8</v>
      </c>
      <c r="EY15" s="1074">
        <v>8</v>
      </c>
      <c r="EZ15" s="1074">
        <v>8</v>
      </c>
      <c r="FA15" s="1074">
        <v>8</v>
      </c>
      <c r="FB15" s="1074">
        <v>8</v>
      </c>
      <c r="FC15" s="1074">
        <v>8</v>
      </c>
      <c r="FD15" s="1074">
        <v>8</v>
      </c>
      <c r="FE15" s="1074">
        <v>8</v>
      </c>
      <c r="FF15" s="1074">
        <v>8</v>
      </c>
      <c r="FG15" s="1074">
        <v>8</v>
      </c>
      <c r="FH15" s="1074">
        <v>8</v>
      </c>
      <c r="FI15" s="1074">
        <v>8</v>
      </c>
      <c r="FJ15" s="1074">
        <v>8</v>
      </c>
      <c r="FK15" s="1074">
        <v>8</v>
      </c>
      <c r="FL15" s="1074">
        <v>8</v>
      </c>
      <c r="FM15" s="1074">
        <v>8</v>
      </c>
      <c r="FN15" s="1074">
        <v>8</v>
      </c>
      <c r="FO15" s="1074">
        <v>8</v>
      </c>
      <c r="FP15" s="1074">
        <v>8</v>
      </c>
      <c r="FQ15" s="1074">
        <v>8</v>
      </c>
      <c r="FR15" s="1074">
        <v>8</v>
      </c>
      <c r="FS15" s="1074">
        <v>8</v>
      </c>
      <c r="FT15" s="1074">
        <v>8</v>
      </c>
      <c r="FU15" s="1074">
        <v>8</v>
      </c>
      <c r="FV15" s="1074">
        <v>8</v>
      </c>
      <c r="FW15" s="1074">
        <v>8</v>
      </c>
      <c r="FX15" s="1074">
        <v>8</v>
      </c>
      <c r="FY15" s="1074">
        <v>8</v>
      </c>
      <c r="FZ15" s="1074">
        <v>8</v>
      </c>
      <c r="GA15" s="1074">
        <v>8</v>
      </c>
      <c r="GB15" s="1074">
        <v>8</v>
      </c>
      <c r="GC15" s="1074">
        <v>8</v>
      </c>
      <c r="GD15" s="1074">
        <v>8</v>
      </c>
      <c r="GE15" s="1074">
        <v>8</v>
      </c>
      <c r="GF15" s="1074">
        <v>8</v>
      </c>
      <c r="GG15" s="1074">
        <v>8</v>
      </c>
      <c r="GH15" s="1074">
        <v>8</v>
      </c>
      <c r="GI15" s="1074">
        <v>8</v>
      </c>
      <c r="GJ15" s="1074">
        <v>8</v>
      </c>
      <c r="GK15" s="1074">
        <v>8</v>
      </c>
      <c r="GL15" s="1074">
        <v>8</v>
      </c>
      <c r="GM15" s="1074">
        <v>8</v>
      </c>
      <c r="GN15" s="1074">
        <v>8</v>
      </c>
      <c r="GO15" s="1074">
        <v>8</v>
      </c>
      <c r="GP15" s="1074">
        <v>8</v>
      </c>
      <c r="GQ15" s="1074">
        <v>8</v>
      </c>
      <c r="GR15" s="1074">
        <v>8</v>
      </c>
      <c r="GS15" s="1074">
        <v>8</v>
      </c>
      <c r="GT15" s="1074">
        <v>8</v>
      </c>
      <c r="GU15" s="1074">
        <v>8</v>
      </c>
      <c r="GV15" s="1074">
        <v>8</v>
      </c>
      <c r="GW15" s="1074">
        <v>8</v>
      </c>
      <c r="GX15" s="1074">
        <v>8</v>
      </c>
      <c r="GY15" s="1074">
        <v>8</v>
      </c>
      <c r="GZ15" s="1074">
        <v>8</v>
      </c>
      <c r="HA15" s="1074">
        <v>8</v>
      </c>
      <c r="HB15" s="1074">
        <v>8</v>
      </c>
      <c r="HC15" s="1074">
        <v>8</v>
      </c>
      <c r="HD15" s="1074">
        <v>8</v>
      </c>
      <c r="HE15" s="1074">
        <v>8</v>
      </c>
      <c r="HF15" s="1074">
        <v>8</v>
      </c>
      <c r="HG15" s="1074">
        <v>8</v>
      </c>
      <c r="HH15" s="1074">
        <v>8</v>
      </c>
      <c r="HI15" s="1074">
        <v>8</v>
      </c>
      <c r="HJ15" s="1074">
        <v>8</v>
      </c>
      <c r="HK15" s="1074">
        <v>8</v>
      </c>
      <c r="HL15" s="1074">
        <v>8</v>
      </c>
      <c r="HM15" s="1074">
        <v>8</v>
      </c>
      <c r="HN15" s="1074">
        <v>8</v>
      </c>
      <c r="HO15" s="1074">
        <v>8</v>
      </c>
      <c r="HP15" s="1074">
        <v>8</v>
      </c>
      <c r="HQ15" s="1074">
        <v>8</v>
      </c>
      <c r="HR15" s="1074">
        <v>8</v>
      </c>
      <c r="HS15" s="1074">
        <v>8</v>
      </c>
      <c r="HT15" s="1074">
        <v>8</v>
      </c>
      <c r="HU15" s="1074">
        <v>8</v>
      </c>
      <c r="HV15" s="1074">
        <v>8</v>
      </c>
      <c r="HW15" s="1074">
        <v>8</v>
      </c>
      <c r="HX15" s="1074">
        <v>8</v>
      </c>
      <c r="HY15" s="1074">
        <v>8</v>
      </c>
      <c r="HZ15" s="1074">
        <v>8</v>
      </c>
      <c r="IA15" s="1074">
        <v>8</v>
      </c>
      <c r="IB15" s="1074">
        <v>8</v>
      </c>
      <c r="IC15" s="1074">
        <v>8</v>
      </c>
      <c r="ID15" s="1074">
        <v>8</v>
      </c>
      <c r="IE15" s="1074">
        <v>8</v>
      </c>
      <c r="IF15" s="1074">
        <v>8</v>
      </c>
      <c r="IG15" s="1074">
        <v>8</v>
      </c>
      <c r="IH15" s="1074">
        <v>8</v>
      </c>
      <c r="II15" s="1074">
        <v>8</v>
      </c>
      <c r="IJ15" s="1074">
        <v>8</v>
      </c>
      <c r="IK15" s="1074">
        <v>8</v>
      </c>
      <c r="IL15" s="1074">
        <v>8</v>
      </c>
      <c r="IM15" s="1074">
        <v>8</v>
      </c>
      <c r="IN15" s="1074">
        <v>8</v>
      </c>
      <c r="IO15" s="1074">
        <v>8</v>
      </c>
      <c r="IP15" s="1074">
        <v>8</v>
      </c>
      <c r="IQ15" s="1074">
        <v>8</v>
      </c>
      <c r="IR15" s="1074">
        <v>8</v>
      </c>
      <c r="IS15" s="1074">
        <v>8</v>
      </c>
      <c r="IT15" s="1074">
        <v>8</v>
      </c>
      <c r="IU15" s="1074">
        <v>8</v>
      </c>
      <c r="IV15" s="1074">
        <v>8</v>
      </c>
      <c r="IW15" s="1074">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238" hidden="1"/>
    <col min="2" max="2" width="9.140625" style="2244" hidden="1"/>
    <col min="3" max="3" width="3.7109375" style="2238" hidden="1" customWidth="1"/>
    <col min="4" max="4" width="3" style="2250" customWidth="1"/>
    <col min="5" max="5" width="6" style="2238" customWidth="1"/>
    <col min="6" max="6" width="27" style="2238" customWidth="1"/>
    <col min="7" max="7" width="16" style="2238" customWidth="1"/>
    <col min="8" max="8" width="12" style="2238" customWidth="1"/>
    <col min="9" max="9" width="32" style="2238" customWidth="1"/>
    <col min="10" max="11" width="41" style="2238" customWidth="1"/>
    <col min="12" max="12" width="89" style="2238" customWidth="1"/>
    <col min="13" max="13" width="3" style="2251" customWidth="1"/>
    <col min="14" max="16" width="8" style="2251" customWidth="1"/>
    <col min="17" max="17" width="25" style="2251" customWidth="1"/>
    <col min="18" max="18" width="14" style="2251" customWidth="1"/>
    <col min="19" max="22" width="8" style="2252" customWidth="1"/>
    <col min="23" max="256" width="8" style="2238" customWidth="1"/>
    <col min="257" max="257" width="9.140625" style="2238" hidden="1"/>
  </cols>
  <sheetData>
    <row r="1" spans="1:257" ht="22.5" hidden="1" customHeight="1">
      <c r="IW1" s="1550" t="s">
        <v>14</v>
      </c>
    </row>
    <row r="2" spans="1:257" s="2248" customFormat="1" ht="22.5" hidden="1" customHeight="1">
      <c r="A2" s="762"/>
      <c r="B2" s="1285">
        <v>1</v>
      </c>
      <c r="C2" s="1285"/>
      <c r="D2" s="1841" t="s">
        <v>575</v>
      </c>
      <c r="E2" s="1820"/>
      <c r="F2" s="1822" t="str">
        <f>IF(ROIV_INFO_NAME="","",ROIV_INFO_NAME)</f>
        <v>МУП "Водоканал"</v>
      </c>
      <c r="G2" s="1650" t="s">
        <v>22</v>
      </c>
      <c r="H2" s="1832"/>
      <c r="I2" s="1457"/>
      <c r="J2" s="749"/>
      <c r="K2" s="749"/>
      <c r="L2" s="165"/>
      <c r="M2" s="1454" t="e">
        <f ca="1">MERGEVALUE(F2)</f>
        <v>#NAME?</v>
      </c>
      <c r="N2" s="1555"/>
      <c r="O2" s="1555"/>
      <c r="P2" s="1543" t="str">
        <f t="array" ref="P2">IF(ISERROR(MATCH(MID(Q2,1,250),MID(note_ter,1,250),0)),"n","y")</f>
        <v>n</v>
      </c>
      <c r="Q2" s="1555"/>
      <c r="R2" s="1543" t="str">
        <f>G2&amp;"("&amp;L2&amp;")"</f>
        <v>()</v>
      </c>
      <c r="S2" s="1285"/>
      <c r="T2" s="1285"/>
      <c r="U2" s="357"/>
      <c r="V2" s="1285"/>
      <c r="W2" s="1285"/>
      <c r="X2" s="1285"/>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2245" customFormat="1" ht="5.25" hidden="1" customHeight="1">
      <c r="A3" s="1560"/>
      <c r="D3" s="1809"/>
      <c r="F3" s="185" t="s">
        <v>82</v>
      </c>
      <c r="G3" s="1653" t="s">
        <v>83</v>
      </c>
      <c r="H3" s="1809"/>
      <c r="I3" s="1809"/>
      <c r="J3" s="1809"/>
      <c r="K3" s="1809"/>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5">
        <v>0</v>
      </c>
    </row>
    <row r="4" spans="1:257" s="2247" customFormat="1" ht="14.65" customHeight="1">
      <c r="A4" s="1550"/>
      <c r="B4" s="1285"/>
      <c r="C4" s="1550"/>
      <c r="D4" s="1434"/>
      <c r="E4" s="1554"/>
      <c r="F4" s="1554"/>
      <c r="G4" s="1554"/>
      <c r="H4" s="1554"/>
      <c r="I4" s="1554"/>
      <c r="J4" s="1554"/>
      <c r="K4" s="1554"/>
      <c r="L4" s="1811"/>
      <c r="M4" s="185"/>
      <c r="N4" s="1543"/>
      <c r="O4" s="1543"/>
      <c r="P4" s="1543"/>
      <c r="Q4" s="1543"/>
      <c r="R4" s="1543"/>
      <c r="S4" s="162"/>
      <c r="T4" s="162"/>
      <c r="U4" s="162"/>
      <c r="V4" s="162"/>
      <c r="IW4" s="1528">
        <v>14</v>
      </c>
    </row>
    <row r="5" spans="1:257" s="2247" customFormat="1" ht="27.4" customHeight="1">
      <c r="A5" s="1550"/>
      <c r="B5" s="1285"/>
      <c r="C5" s="1550"/>
      <c r="D5" s="1434"/>
      <c r="E5" s="233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339"/>
      <c r="G5" s="2339"/>
      <c r="H5" s="2339"/>
      <c r="I5" s="2339"/>
      <c r="J5" s="2339"/>
      <c r="K5" s="2339"/>
      <c r="L5" s="1554"/>
      <c r="M5" s="185"/>
      <c r="N5" s="1543"/>
      <c r="O5" s="1543"/>
      <c r="P5" s="1543"/>
      <c r="Q5" s="1543"/>
      <c r="R5" s="1543"/>
      <c r="S5" s="162"/>
      <c r="T5" s="162"/>
      <c r="U5" s="162"/>
      <c r="V5" s="162"/>
      <c r="IW5" s="1528">
        <v>26</v>
      </c>
    </row>
    <row r="6" spans="1:257" s="2247" customFormat="1" ht="14.65" customHeight="1">
      <c r="A6" s="1550"/>
      <c r="B6" s="1285"/>
      <c r="C6" s="1550"/>
      <c r="D6" s="1434"/>
      <c r="E6" s="1554"/>
      <c r="F6" s="553"/>
      <c r="G6" s="553"/>
      <c r="H6" s="553"/>
      <c r="I6" s="553"/>
      <c r="J6" s="553"/>
      <c r="K6" s="553"/>
      <c r="L6" s="1171"/>
      <c r="M6" s="1543"/>
      <c r="N6" s="1543"/>
      <c r="O6" s="1543"/>
      <c r="P6" s="1543"/>
      <c r="Q6" s="1543"/>
      <c r="R6" s="1543"/>
      <c r="S6" s="162"/>
      <c r="T6" s="162"/>
      <c r="U6" s="162"/>
      <c r="V6" s="162"/>
      <c r="IW6" s="1528">
        <v>14</v>
      </c>
    </row>
    <row r="7" spans="1:257" s="2247" customFormat="1" ht="14.65" customHeight="1">
      <c r="A7" s="1550"/>
      <c r="B7" s="1285"/>
      <c r="C7" s="1550"/>
      <c r="D7" s="1434"/>
      <c r="E7" s="2335" t="s">
        <v>298</v>
      </c>
      <c r="F7" s="2340"/>
      <c r="G7" s="2340"/>
      <c r="H7" s="2340"/>
      <c r="I7" s="2340"/>
      <c r="J7" s="2340"/>
      <c r="K7" s="2340"/>
      <c r="L7" s="2694" t="s">
        <v>299</v>
      </c>
      <c r="M7" s="1543"/>
      <c r="N7" s="1543"/>
      <c r="O7" s="1543"/>
      <c r="P7" s="1543"/>
      <c r="Q7" s="1543"/>
      <c r="R7" s="1543"/>
      <c r="S7" s="162"/>
      <c r="T7" s="162"/>
      <c r="U7" s="162"/>
      <c r="V7" s="162"/>
      <c r="IW7" s="1528">
        <v>14</v>
      </c>
    </row>
    <row r="8" spans="1:257" s="2247" customFormat="1" ht="67.150000000000006" customHeight="1">
      <c r="A8" s="1550"/>
      <c r="B8" s="1285"/>
      <c r="C8" s="1550"/>
      <c r="D8" s="1434"/>
      <c r="E8" s="2698" t="s">
        <v>87</v>
      </c>
      <c r="F8" s="2698" t="s">
        <v>1903</v>
      </c>
      <c r="G8" s="2700" t="s">
        <v>1904</v>
      </c>
      <c r="H8" s="2701"/>
      <c r="I8" s="2702"/>
      <c r="J8" s="2698" t="s">
        <v>1905</v>
      </c>
      <c r="K8" s="269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696"/>
      <c r="M8" s="1543"/>
      <c r="N8" s="1543"/>
      <c r="O8" s="1543"/>
      <c r="P8" s="1543"/>
      <c r="Q8" s="1543"/>
      <c r="R8" s="1543"/>
      <c r="S8" s="162"/>
      <c r="T8" s="162"/>
      <c r="U8" s="162"/>
      <c r="V8" s="162"/>
      <c r="IW8" s="1528">
        <v>64</v>
      </c>
    </row>
    <row r="9" spans="1:257" s="2247" customFormat="1" ht="29.25" customHeight="1">
      <c r="A9" s="1550"/>
      <c r="B9" s="1285"/>
      <c r="C9" s="1550"/>
      <c r="D9" s="1434"/>
      <c r="E9" s="2699"/>
      <c r="F9" s="2699"/>
      <c r="G9" s="1810" t="s">
        <v>1899</v>
      </c>
      <c r="H9" s="1810" t="s">
        <v>1900</v>
      </c>
      <c r="I9" s="1810" t="s">
        <v>1901</v>
      </c>
      <c r="J9" s="2699"/>
      <c r="K9" s="2699"/>
      <c r="L9" s="2695"/>
      <c r="M9" s="1543"/>
      <c r="N9" s="1543"/>
      <c r="O9" s="1543"/>
      <c r="P9" s="1543"/>
      <c r="Q9" s="1543"/>
      <c r="R9" s="1543"/>
      <c r="S9" s="162"/>
      <c r="T9" s="162"/>
      <c r="U9" s="162"/>
      <c r="V9" s="162"/>
      <c r="IW9" s="1528">
        <v>28</v>
      </c>
    </row>
    <row r="10" spans="1:257" s="2248" customFormat="1" ht="1.1499999999999999" customHeight="1">
      <c r="A10" s="2338"/>
      <c r="B10" s="1285">
        <v>1</v>
      </c>
      <c r="C10" s="1285"/>
      <c r="D10" s="731"/>
      <c r="E10" s="726">
        <v>0</v>
      </c>
      <c r="F10" s="1807" t="str">
        <f>IF(ROIV_INFO_NAME="","",ROIV_INFO_NAME)</f>
        <v>МУП "Водоканал"</v>
      </c>
      <c r="G10" s="1651" t="s">
        <v>22</v>
      </c>
      <c r="H10" s="1819"/>
      <c r="I10" s="1819"/>
      <c r="J10" s="456"/>
      <c r="K10" s="456"/>
      <c r="L10" s="266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1555"/>
      <c r="O10" s="1555"/>
      <c r="P10" s="1543" t="str">
        <f t="array" ref="P10">IF(ISERROR(MATCH(MID(Q10,1,250),MID(note_ter,1,250),0)),"n","y")</f>
        <v>n</v>
      </c>
      <c r="Q10" s="1555"/>
      <c r="R10" s="154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5"/>
      <c r="T10" s="1285"/>
      <c r="U10" s="357"/>
      <c r="V10" s="1285"/>
      <c r="W10" s="1285"/>
      <c r="X10" s="1285"/>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2248" customFormat="1" ht="15.75" customHeight="1">
      <c r="A11" s="2338"/>
      <c r="B11" s="1285"/>
      <c r="C11" s="349"/>
      <c r="D11" s="732"/>
      <c r="E11" s="358"/>
      <c r="F11" s="588" t="s">
        <v>1902</v>
      </c>
      <c r="G11" s="124"/>
      <c r="H11" s="124"/>
      <c r="I11" s="124"/>
      <c r="J11" s="124"/>
      <c r="K11" s="361"/>
      <c r="L11" s="2697"/>
      <c r="M11" s="1455"/>
      <c r="N11" s="1555"/>
      <c r="O11" s="1555"/>
      <c r="P11" s="1555"/>
      <c r="Q11" s="1543"/>
      <c r="R11" s="1555"/>
      <c r="S11" s="1285"/>
      <c r="T11" s="1285"/>
      <c r="U11" s="357"/>
      <c r="V11" s="1285"/>
      <c r="W11" s="1285"/>
      <c r="X11" s="1285"/>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2247" customFormat="1" ht="21.95" customHeight="1">
      <c r="A12" s="1550"/>
      <c r="B12" s="1285"/>
      <c r="C12" s="1550"/>
      <c r="D12" s="1552"/>
      <c r="E12" s="117"/>
      <c r="F12" s="117"/>
      <c r="G12" s="117"/>
      <c r="H12" s="117"/>
      <c r="I12" s="117"/>
      <c r="J12" s="117"/>
      <c r="K12" s="117"/>
      <c r="L12" s="117"/>
      <c r="M12" s="1543"/>
      <c r="N12" s="1543"/>
      <c r="O12" s="1543"/>
      <c r="P12" s="1543"/>
      <c r="Q12" s="1543"/>
      <c r="R12" s="1543"/>
      <c r="S12" s="162"/>
      <c r="T12" s="162"/>
      <c r="U12" s="162"/>
      <c r="V12" s="162"/>
      <c r="IW12" s="1528">
        <v>21</v>
      </c>
    </row>
    <row r="13" spans="1:257" s="2247" customFormat="1" ht="14.65" customHeight="1">
      <c r="A13" s="1550"/>
      <c r="B13" s="1285"/>
      <c r="C13" s="1550"/>
      <c r="D13" s="1552"/>
      <c r="E13" s="1550"/>
      <c r="F13" s="1550"/>
      <c r="G13" s="1550"/>
      <c r="H13" s="1550"/>
      <c r="I13" s="1550"/>
      <c r="J13" s="1550"/>
      <c r="K13" s="1550"/>
      <c r="L13" s="1550"/>
      <c r="M13" s="1543"/>
      <c r="N13" s="1543"/>
      <c r="O13" s="1543"/>
      <c r="P13" s="1543"/>
      <c r="Q13" s="1543"/>
      <c r="R13" s="1543"/>
      <c r="S13" s="162"/>
      <c r="T13" s="162"/>
      <c r="U13" s="162"/>
      <c r="V13" s="162"/>
      <c r="IW13" s="1528">
        <v>14</v>
      </c>
    </row>
    <row r="14" spans="1:257" s="2247" customFormat="1" ht="1.1499999999999999" customHeight="1">
      <c r="A14" s="1550"/>
      <c r="B14" s="1285"/>
      <c r="C14" s="1550"/>
      <c r="D14" s="1552"/>
      <c r="E14" s="1550"/>
      <c r="F14" s="1550"/>
      <c r="G14" s="1550"/>
      <c r="H14" s="1550"/>
      <c r="I14" s="1550"/>
      <c r="J14" s="1550"/>
      <c r="K14" s="1550"/>
      <c r="L14" s="1550"/>
      <c r="M14" s="1543"/>
      <c r="N14" s="1543"/>
      <c r="O14" s="1543"/>
      <c r="P14" s="1543"/>
      <c r="Q14" s="1543"/>
      <c r="R14" s="1543"/>
      <c r="S14" s="162"/>
      <c r="T14" s="162"/>
      <c r="U14" s="162"/>
      <c r="V14" s="162"/>
      <c r="IW14" s="1528">
        <v>1</v>
      </c>
    </row>
    <row r="15" spans="1:257" ht="22.5" hidden="1" customHeight="1">
      <c r="A15" s="1550" t="s">
        <v>81</v>
      </c>
      <c r="B15" s="1285">
        <v>0</v>
      </c>
      <c r="C15" s="1550">
        <v>0</v>
      </c>
      <c r="D15" s="1552">
        <v>3</v>
      </c>
      <c r="E15" s="1550">
        <v>6</v>
      </c>
      <c r="F15" s="1550">
        <v>27</v>
      </c>
      <c r="G15" s="1550">
        <v>16</v>
      </c>
      <c r="H15" s="1550">
        <v>12</v>
      </c>
      <c r="I15" s="1550">
        <v>32</v>
      </c>
      <c r="J15" s="1550">
        <v>41</v>
      </c>
      <c r="K15" s="1550">
        <v>41</v>
      </c>
      <c r="L15" s="1550">
        <v>89</v>
      </c>
      <c r="M15" s="1543">
        <v>3</v>
      </c>
      <c r="N15" s="1543">
        <v>8</v>
      </c>
      <c r="O15" s="1543">
        <v>8</v>
      </c>
      <c r="P15" s="1543">
        <v>8</v>
      </c>
      <c r="Q15" s="1543">
        <v>25</v>
      </c>
      <c r="R15" s="1543">
        <v>14</v>
      </c>
      <c r="S15" s="162">
        <v>8</v>
      </c>
      <c r="T15" s="162">
        <v>8</v>
      </c>
      <c r="U15" s="162">
        <v>8</v>
      </c>
      <c r="V15" s="162">
        <v>8</v>
      </c>
      <c r="W15" s="1550">
        <v>8</v>
      </c>
      <c r="X15" s="1550">
        <v>8</v>
      </c>
      <c r="Y15" s="1550">
        <v>8</v>
      </c>
      <c r="Z15" s="1550">
        <v>8</v>
      </c>
      <c r="AA15" s="1550">
        <v>8</v>
      </c>
      <c r="AB15" s="1550">
        <v>8</v>
      </c>
      <c r="AC15" s="1550">
        <v>8</v>
      </c>
      <c r="AD15" s="1550">
        <v>8</v>
      </c>
      <c r="AE15" s="1550">
        <v>8</v>
      </c>
      <c r="AF15" s="1550">
        <v>8</v>
      </c>
      <c r="AG15" s="1550">
        <v>8</v>
      </c>
      <c r="AH15" s="1550">
        <v>8</v>
      </c>
      <c r="AI15" s="1550">
        <v>8</v>
      </c>
      <c r="AJ15" s="1550">
        <v>8</v>
      </c>
      <c r="AK15" s="1550">
        <v>8</v>
      </c>
      <c r="AL15" s="1550">
        <v>8</v>
      </c>
      <c r="AM15" s="1550">
        <v>8</v>
      </c>
      <c r="AN15" s="1550">
        <v>8</v>
      </c>
      <c r="AO15" s="1550">
        <v>8</v>
      </c>
      <c r="AP15" s="1550">
        <v>8</v>
      </c>
      <c r="AQ15" s="1550">
        <v>8</v>
      </c>
      <c r="AR15" s="1550">
        <v>8</v>
      </c>
      <c r="AS15" s="1550">
        <v>8</v>
      </c>
      <c r="AT15" s="1550">
        <v>8</v>
      </c>
      <c r="AU15" s="1550">
        <v>8</v>
      </c>
      <c r="AV15" s="1550">
        <v>8</v>
      </c>
      <c r="AW15" s="1550">
        <v>8</v>
      </c>
      <c r="AX15" s="1550">
        <v>8</v>
      </c>
      <c r="AY15" s="1550">
        <v>8</v>
      </c>
      <c r="AZ15" s="1550">
        <v>8</v>
      </c>
      <c r="BA15" s="1550">
        <v>8</v>
      </c>
      <c r="BB15" s="1550">
        <v>8</v>
      </c>
      <c r="BC15" s="1550">
        <v>8</v>
      </c>
      <c r="BD15" s="1550">
        <v>8</v>
      </c>
      <c r="BE15" s="1550">
        <v>8</v>
      </c>
      <c r="BF15" s="1550">
        <v>8</v>
      </c>
      <c r="BG15" s="1550">
        <v>8</v>
      </c>
      <c r="BH15" s="1550">
        <v>8</v>
      </c>
      <c r="BI15" s="1550">
        <v>8</v>
      </c>
      <c r="BJ15" s="1550">
        <v>8</v>
      </c>
      <c r="BK15" s="1550">
        <v>8</v>
      </c>
      <c r="BL15" s="1550">
        <v>8</v>
      </c>
      <c r="BM15" s="1550">
        <v>8</v>
      </c>
      <c r="BN15" s="1550">
        <v>8</v>
      </c>
      <c r="BO15" s="1550">
        <v>8</v>
      </c>
      <c r="BP15" s="1550">
        <v>8</v>
      </c>
      <c r="BQ15" s="1550">
        <v>8</v>
      </c>
      <c r="BR15" s="1550">
        <v>8</v>
      </c>
      <c r="BS15" s="1550">
        <v>8</v>
      </c>
      <c r="BT15" s="1550">
        <v>8</v>
      </c>
      <c r="BU15" s="1550">
        <v>8</v>
      </c>
      <c r="BV15" s="1550">
        <v>8</v>
      </c>
      <c r="BW15" s="1550">
        <v>8</v>
      </c>
      <c r="BX15" s="1550">
        <v>8</v>
      </c>
      <c r="BY15" s="1550">
        <v>8</v>
      </c>
      <c r="BZ15" s="1550">
        <v>8</v>
      </c>
      <c r="CA15" s="1550">
        <v>8</v>
      </c>
      <c r="CB15" s="1550">
        <v>8</v>
      </c>
      <c r="CC15" s="1550">
        <v>8</v>
      </c>
      <c r="CD15" s="1550">
        <v>8</v>
      </c>
      <c r="CE15" s="1550">
        <v>8</v>
      </c>
      <c r="CF15" s="1550">
        <v>8</v>
      </c>
      <c r="CG15" s="1550">
        <v>8</v>
      </c>
      <c r="CH15" s="1550">
        <v>8</v>
      </c>
      <c r="CI15" s="1550">
        <v>8</v>
      </c>
      <c r="CJ15" s="1550">
        <v>8</v>
      </c>
      <c r="CK15" s="1550">
        <v>8</v>
      </c>
      <c r="CL15" s="1550">
        <v>8</v>
      </c>
      <c r="CM15" s="1550">
        <v>8</v>
      </c>
      <c r="CN15" s="1550">
        <v>8</v>
      </c>
      <c r="CO15" s="1550">
        <v>8</v>
      </c>
      <c r="CP15" s="1550">
        <v>8</v>
      </c>
      <c r="CQ15" s="1550">
        <v>8</v>
      </c>
      <c r="CR15" s="1550">
        <v>8</v>
      </c>
      <c r="CS15" s="1550">
        <v>8</v>
      </c>
      <c r="CT15" s="1550">
        <v>8</v>
      </c>
      <c r="CU15" s="1550">
        <v>8</v>
      </c>
      <c r="CV15" s="1550">
        <v>8</v>
      </c>
      <c r="CW15" s="1550">
        <v>8</v>
      </c>
      <c r="CX15" s="1550">
        <v>8</v>
      </c>
      <c r="CY15" s="1550">
        <v>8</v>
      </c>
      <c r="CZ15" s="1550">
        <v>8</v>
      </c>
      <c r="DA15" s="1550">
        <v>8</v>
      </c>
      <c r="DB15" s="1550">
        <v>8</v>
      </c>
      <c r="DC15" s="1550">
        <v>8</v>
      </c>
      <c r="DD15" s="1550">
        <v>8</v>
      </c>
      <c r="DE15" s="1550">
        <v>8</v>
      </c>
      <c r="DF15" s="1550">
        <v>8</v>
      </c>
      <c r="DG15" s="1550">
        <v>8</v>
      </c>
      <c r="DH15" s="1550">
        <v>8</v>
      </c>
      <c r="DI15" s="1550">
        <v>8</v>
      </c>
      <c r="DJ15" s="1550">
        <v>8</v>
      </c>
      <c r="DK15" s="1550">
        <v>8</v>
      </c>
      <c r="DL15" s="1550">
        <v>8</v>
      </c>
      <c r="DM15" s="1550">
        <v>8</v>
      </c>
      <c r="DN15" s="1550">
        <v>8</v>
      </c>
      <c r="DO15" s="1550">
        <v>8</v>
      </c>
      <c r="DP15" s="1550">
        <v>8</v>
      </c>
      <c r="DQ15" s="1550">
        <v>8</v>
      </c>
      <c r="DR15" s="1550">
        <v>8</v>
      </c>
      <c r="DS15" s="1550">
        <v>8</v>
      </c>
      <c r="DT15" s="1550">
        <v>8</v>
      </c>
      <c r="DU15" s="1550">
        <v>8</v>
      </c>
      <c r="DV15" s="1550">
        <v>8</v>
      </c>
      <c r="DW15" s="1550">
        <v>8</v>
      </c>
      <c r="DX15" s="1550">
        <v>8</v>
      </c>
      <c r="DY15" s="1550">
        <v>8</v>
      </c>
      <c r="DZ15" s="1550">
        <v>8</v>
      </c>
      <c r="EA15" s="1550">
        <v>8</v>
      </c>
      <c r="EB15" s="1550">
        <v>8</v>
      </c>
      <c r="EC15" s="1550">
        <v>8</v>
      </c>
      <c r="ED15" s="1550">
        <v>8</v>
      </c>
      <c r="EE15" s="1550">
        <v>8</v>
      </c>
      <c r="EF15" s="1550">
        <v>8</v>
      </c>
      <c r="EG15" s="1550">
        <v>8</v>
      </c>
      <c r="EH15" s="1550">
        <v>8</v>
      </c>
      <c r="EI15" s="1550">
        <v>8</v>
      </c>
      <c r="EJ15" s="1550">
        <v>8</v>
      </c>
      <c r="EK15" s="1550">
        <v>8</v>
      </c>
      <c r="EL15" s="1550">
        <v>8</v>
      </c>
      <c r="EM15" s="1550">
        <v>8</v>
      </c>
      <c r="EN15" s="1550">
        <v>8</v>
      </c>
      <c r="EO15" s="1550">
        <v>8</v>
      </c>
      <c r="EP15" s="1550">
        <v>8</v>
      </c>
      <c r="EQ15" s="1550">
        <v>8</v>
      </c>
      <c r="ER15" s="1550">
        <v>8</v>
      </c>
      <c r="ES15" s="1550">
        <v>8</v>
      </c>
      <c r="ET15" s="1550">
        <v>8</v>
      </c>
      <c r="EU15" s="1550">
        <v>8</v>
      </c>
      <c r="EV15" s="1550">
        <v>8</v>
      </c>
      <c r="EW15" s="1550">
        <v>8</v>
      </c>
      <c r="EX15" s="1550">
        <v>8</v>
      </c>
      <c r="EY15" s="1550">
        <v>8</v>
      </c>
      <c r="EZ15" s="1550">
        <v>8</v>
      </c>
      <c r="FA15" s="1550">
        <v>8</v>
      </c>
      <c r="FB15" s="1550">
        <v>8</v>
      </c>
      <c r="FC15" s="1550">
        <v>8</v>
      </c>
      <c r="FD15" s="1550">
        <v>8</v>
      </c>
      <c r="FE15" s="1550">
        <v>8</v>
      </c>
      <c r="FF15" s="1550">
        <v>8</v>
      </c>
      <c r="FG15" s="1550">
        <v>8</v>
      </c>
      <c r="FH15" s="1550">
        <v>8</v>
      </c>
      <c r="FI15" s="1550">
        <v>8</v>
      </c>
      <c r="FJ15" s="1550">
        <v>8</v>
      </c>
      <c r="FK15" s="1550">
        <v>8</v>
      </c>
      <c r="FL15" s="1550">
        <v>8</v>
      </c>
      <c r="FM15" s="1550">
        <v>8</v>
      </c>
      <c r="FN15" s="1550">
        <v>8</v>
      </c>
      <c r="FO15" s="1550">
        <v>8</v>
      </c>
      <c r="FP15" s="1550">
        <v>8</v>
      </c>
      <c r="FQ15" s="1550">
        <v>8</v>
      </c>
      <c r="FR15" s="1550">
        <v>8</v>
      </c>
      <c r="FS15" s="1550">
        <v>8</v>
      </c>
      <c r="FT15" s="1550">
        <v>8</v>
      </c>
      <c r="FU15" s="1550">
        <v>8</v>
      </c>
      <c r="FV15" s="1550">
        <v>8</v>
      </c>
      <c r="FW15" s="1550">
        <v>8</v>
      </c>
      <c r="FX15" s="1550">
        <v>8</v>
      </c>
      <c r="FY15" s="1550">
        <v>8</v>
      </c>
      <c r="FZ15" s="1550">
        <v>8</v>
      </c>
      <c r="GA15" s="1550">
        <v>8</v>
      </c>
      <c r="GB15" s="1550">
        <v>8</v>
      </c>
      <c r="GC15" s="1550">
        <v>8</v>
      </c>
      <c r="GD15" s="1550">
        <v>8</v>
      </c>
      <c r="GE15" s="1550">
        <v>8</v>
      </c>
      <c r="GF15" s="1550">
        <v>8</v>
      </c>
      <c r="GG15" s="1550">
        <v>8</v>
      </c>
      <c r="GH15" s="1550">
        <v>8</v>
      </c>
      <c r="GI15" s="1550">
        <v>8</v>
      </c>
      <c r="GJ15" s="1550">
        <v>8</v>
      </c>
      <c r="GK15" s="1550">
        <v>8</v>
      </c>
      <c r="GL15" s="1550">
        <v>8</v>
      </c>
      <c r="GM15" s="1550">
        <v>8</v>
      </c>
      <c r="GN15" s="1550">
        <v>8</v>
      </c>
      <c r="GO15" s="1550">
        <v>8</v>
      </c>
      <c r="GP15" s="1550">
        <v>8</v>
      </c>
      <c r="GQ15" s="1550">
        <v>8</v>
      </c>
      <c r="GR15" s="1550">
        <v>8</v>
      </c>
      <c r="GS15" s="1550">
        <v>8</v>
      </c>
      <c r="GT15" s="1550">
        <v>8</v>
      </c>
      <c r="GU15" s="1550">
        <v>8</v>
      </c>
      <c r="GV15" s="1550">
        <v>8</v>
      </c>
      <c r="GW15" s="1550">
        <v>8</v>
      </c>
      <c r="GX15" s="1550">
        <v>8</v>
      </c>
      <c r="GY15" s="1550">
        <v>8</v>
      </c>
      <c r="GZ15" s="1550">
        <v>8</v>
      </c>
      <c r="HA15" s="1550">
        <v>8</v>
      </c>
      <c r="HB15" s="1550">
        <v>8</v>
      </c>
      <c r="HC15" s="1550">
        <v>8</v>
      </c>
      <c r="HD15" s="1550">
        <v>8</v>
      </c>
      <c r="HE15" s="1550">
        <v>8</v>
      </c>
      <c r="HF15" s="1550">
        <v>8</v>
      </c>
      <c r="HG15" s="1550">
        <v>8</v>
      </c>
      <c r="HH15" s="1550">
        <v>8</v>
      </c>
      <c r="HI15" s="1550">
        <v>8</v>
      </c>
      <c r="HJ15" s="1550">
        <v>8</v>
      </c>
      <c r="HK15" s="1550">
        <v>8</v>
      </c>
      <c r="HL15" s="1550">
        <v>8</v>
      </c>
      <c r="HM15" s="1550">
        <v>8</v>
      </c>
      <c r="HN15" s="1550">
        <v>8</v>
      </c>
      <c r="HO15" s="1550">
        <v>8</v>
      </c>
      <c r="HP15" s="1550">
        <v>8</v>
      </c>
      <c r="HQ15" s="1550">
        <v>8</v>
      </c>
      <c r="HR15" s="1550">
        <v>8</v>
      </c>
      <c r="HS15" s="1550">
        <v>8</v>
      </c>
      <c r="HT15" s="1550">
        <v>8</v>
      </c>
      <c r="HU15" s="1550">
        <v>8</v>
      </c>
      <c r="HV15" s="1550">
        <v>8</v>
      </c>
      <c r="HW15" s="1550">
        <v>8</v>
      </c>
      <c r="HX15" s="1550">
        <v>8</v>
      </c>
      <c r="HY15" s="1550">
        <v>8</v>
      </c>
      <c r="HZ15" s="1550">
        <v>8</v>
      </c>
      <c r="IA15" s="1550">
        <v>8</v>
      </c>
      <c r="IB15" s="1550">
        <v>8</v>
      </c>
      <c r="IC15" s="1550">
        <v>8</v>
      </c>
      <c r="ID15" s="1550">
        <v>8</v>
      </c>
      <c r="IE15" s="1550">
        <v>8</v>
      </c>
      <c r="IF15" s="1550">
        <v>8</v>
      </c>
      <c r="IG15" s="1550">
        <v>8</v>
      </c>
      <c r="IH15" s="1550">
        <v>8</v>
      </c>
      <c r="II15" s="1550">
        <v>8</v>
      </c>
      <c r="IJ15" s="1550">
        <v>8</v>
      </c>
      <c r="IK15" s="1550">
        <v>8</v>
      </c>
      <c r="IL15" s="1550">
        <v>8</v>
      </c>
      <c r="IM15" s="1550">
        <v>8</v>
      </c>
      <c r="IN15" s="1550">
        <v>8</v>
      </c>
      <c r="IO15" s="1550">
        <v>8</v>
      </c>
      <c r="IP15" s="1550">
        <v>8</v>
      </c>
      <c r="IQ15" s="1550">
        <v>8</v>
      </c>
      <c r="IR15" s="1550">
        <v>8</v>
      </c>
      <c r="IS15" s="1550">
        <v>8</v>
      </c>
      <c r="IT15" s="1550">
        <v>8</v>
      </c>
      <c r="IU15" s="1550">
        <v>8</v>
      </c>
      <c r="IV15" s="1550">
        <v>8</v>
      </c>
      <c r="IW15" s="155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2238" hidden="1"/>
    <col min="2" max="2" width="9.140625" style="2244" hidden="1"/>
    <col min="3" max="3" width="3.7109375" style="2238" hidden="1" customWidth="1"/>
    <col min="4" max="4" width="3" style="2250" customWidth="1"/>
    <col min="5" max="5" width="6" style="2238" customWidth="1"/>
    <col min="6" max="6" width="27" style="2238" customWidth="1"/>
    <col min="7" max="7" width="29" style="2238" customWidth="1"/>
    <col min="8" max="8" width="25" style="2238" customWidth="1"/>
    <col min="9" max="9" width="5" style="2238" customWidth="1"/>
    <col min="10" max="10" width="6" style="2238" customWidth="1"/>
    <col min="11" max="11" width="41" style="2238" customWidth="1"/>
    <col min="12" max="12" width="42" style="2238" customWidth="1"/>
    <col min="13" max="13" width="41" style="2238" customWidth="1"/>
    <col min="14" max="14" width="89" style="2238" customWidth="1"/>
    <col min="15" max="15" width="3" style="2251" customWidth="1"/>
    <col min="16" max="16" width="8" style="2251" customWidth="1"/>
    <col min="17" max="17" width="9.140625" style="2238" hidden="1"/>
  </cols>
  <sheetData>
    <row r="1" spans="1:17" ht="22.5" hidden="1" customHeight="1">
      <c r="Q1" s="1074" t="s">
        <v>14</v>
      </c>
    </row>
    <row r="2" spans="1:17" s="2248" customFormat="1" ht="22.5" hidden="1" customHeight="1">
      <c r="A2" s="433"/>
      <c r="B2" s="1079">
        <v>1</v>
      </c>
      <c r="C2" s="1079"/>
      <c r="D2" s="1841" t="s">
        <v>575</v>
      </c>
      <c r="E2" s="2363">
        <v>1</v>
      </c>
      <c r="F2" s="2518" t="str">
        <f>IF(region_name="","",region_name)</f>
        <v>Республика Марий Эл</v>
      </c>
      <c r="G2" s="2703"/>
      <c r="H2" s="2704"/>
      <c r="I2" s="411"/>
      <c r="J2" s="1826">
        <v>1</v>
      </c>
      <c r="K2" s="1828"/>
      <c r="L2" s="1828"/>
      <c r="M2" s="1828"/>
      <c r="N2" s="429"/>
      <c r="O2" s="1454"/>
      <c r="P2" s="448"/>
      <c r="Q2" s="360">
        <v>0</v>
      </c>
    </row>
    <row r="3" spans="1:17" s="2248" customFormat="1" ht="22.5" hidden="1" customHeight="1">
      <c r="A3" s="762"/>
      <c r="B3" s="1079"/>
      <c r="C3" s="1079"/>
      <c r="D3" s="732"/>
      <c r="E3" s="2363"/>
      <c r="F3" s="2518"/>
      <c r="G3" s="2703"/>
      <c r="H3" s="2647"/>
      <c r="I3" s="358"/>
      <c r="J3" s="1419"/>
      <c r="K3" s="1419" t="s">
        <v>1906</v>
      </c>
      <c r="L3" s="1462"/>
      <c r="M3" s="1836"/>
      <c r="N3" s="1829"/>
      <c r="O3" s="1454"/>
      <c r="P3" s="448"/>
      <c r="Q3" s="360">
        <v>0</v>
      </c>
    </row>
    <row r="4" spans="1:17" s="2245" customFormat="1" ht="5.25" hidden="1" customHeight="1">
      <c r="A4" s="433"/>
      <c r="D4" s="431"/>
      <c r="F4" s="184" t="s">
        <v>82</v>
      </c>
      <c r="G4" s="431" t="s">
        <v>83</v>
      </c>
      <c r="H4" s="431"/>
      <c r="I4" s="1839"/>
      <c r="J4" s="1463"/>
      <c r="K4" s="1827"/>
      <c r="L4" s="1827"/>
      <c r="M4" s="1827"/>
      <c r="N4" s="1823"/>
      <c r="O4" s="184" t="s">
        <v>82</v>
      </c>
      <c r="P4" s="184"/>
      <c r="Q4" s="448">
        <v>0</v>
      </c>
    </row>
    <row r="5" spans="1:17" s="2248" customFormat="1" ht="22.5" hidden="1" customHeight="1">
      <c r="A5" s="1560"/>
      <c r="B5" s="1285">
        <v>1</v>
      </c>
      <c r="C5" s="1285"/>
      <c r="D5" s="732"/>
      <c r="E5" s="1829"/>
      <c r="F5" s="1829"/>
      <c r="G5" s="1829"/>
      <c r="H5" s="1840"/>
      <c r="I5" s="1842" t="s">
        <v>575</v>
      </c>
      <c r="J5" s="1838">
        <v>1</v>
      </c>
      <c r="K5" s="1828"/>
      <c r="L5" s="1828"/>
      <c r="M5" s="1828"/>
      <c r="N5" s="429"/>
      <c r="O5" s="1454"/>
      <c r="P5" s="1555"/>
      <c r="Q5" s="561">
        <v>0</v>
      </c>
    </row>
    <row r="6" spans="1:17" s="2247" customFormat="1" ht="14.65" customHeight="1">
      <c r="A6" s="1074"/>
      <c r="B6" s="1079"/>
      <c r="C6" s="1074"/>
      <c r="D6" s="1414"/>
      <c r="E6" s="446"/>
      <c r="F6" s="446"/>
      <c r="G6" s="446"/>
      <c r="H6" s="446"/>
      <c r="I6" s="446"/>
      <c r="J6" s="446"/>
      <c r="K6" s="446"/>
      <c r="L6" s="446"/>
      <c r="M6" s="446"/>
      <c r="N6" s="1554"/>
      <c r="O6" s="184"/>
      <c r="P6" s="437"/>
      <c r="Q6" s="444">
        <v>14</v>
      </c>
    </row>
    <row r="7" spans="1:17" s="2247" customFormat="1" ht="27.4" customHeight="1">
      <c r="A7" s="1074"/>
      <c r="B7" s="1079"/>
      <c r="C7" s="1074"/>
      <c r="D7" s="1414"/>
      <c r="E7" s="270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709"/>
      <c r="G7" s="2709"/>
      <c r="H7" s="2709"/>
      <c r="I7" s="2709"/>
      <c r="J7" s="2709"/>
      <c r="K7" s="2709"/>
      <c r="L7" s="2709"/>
      <c r="M7" s="2709"/>
      <c r="N7" s="1171"/>
      <c r="O7" s="184"/>
      <c r="P7" s="437"/>
      <c r="Q7" s="444">
        <v>26</v>
      </c>
    </row>
    <row r="8" spans="1:17" s="2247" customFormat="1" ht="14.65" customHeight="1">
      <c r="A8" s="1074"/>
      <c r="B8" s="1079"/>
      <c r="C8" s="1074"/>
      <c r="D8" s="1414"/>
      <c r="E8" s="446"/>
      <c r="F8" s="104"/>
      <c r="G8" s="104"/>
      <c r="H8" s="104"/>
      <c r="I8" s="104"/>
      <c r="J8" s="104"/>
      <c r="K8" s="104"/>
      <c r="L8" s="104"/>
      <c r="M8" s="104"/>
      <c r="N8" s="553"/>
      <c r="O8" s="437"/>
      <c r="P8" s="437"/>
      <c r="Q8" s="444">
        <v>14</v>
      </c>
    </row>
    <row r="9" spans="1:17" s="2302" customFormat="1" ht="14.25" hidden="1" customHeight="1">
      <c r="A9" s="1387"/>
      <c r="B9" s="1397"/>
      <c r="C9" s="1387"/>
      <c r="D9" s="1414"/>
      <c r="E9" s="1830"/>
      <c r="F9" s="1830"/>
      <c r="G9" s="1830"/>
      <c r="H9" s="1830"/>
      <c r="I9" s="2712"/>
      <c r="J9" s="2712"/>
      <c r="K9" s="2712"/>
      <c r="L9" s="1830"/>
      <c r="M9" s="1831"/>
      <c r="O9" s="1464"/>
      <c r="P9" s="1464"/>
      <c r="Q9" s="1465">
        <v>0</v>
      </c>
    </row>
    <row r="10" spans="1:17" s="2247" customFormat="1" ht="14.65" customHeight="1">
      <c r="A10" s="1074"/>
      <c r="B10" s="1079"/>
      <c r="C10" s="1074"/>
      <c r="D10" s="1414"/>
      <c r="E10" s="2363" t="s">
        <v>298</v>
      </c>
      <c r="F10" s="2363"/>
      <c r="G10" s="2363"/>
      <c r="H10" s="2363"/>
      <c r="I10" s="2363"/>
      <c r="J10" s="2363"/>
      <c r="K10" s="2363"/>
      <c r="L10" s="2363"/>
      <c r="M10" s="2335"/>
      <c r="N10" s="2698" t="s">
        <v>299</v>
      </c>
      <c r="O10" s="437"/>
      <c r="P10" s="437"/>
      <c r="Q10" s="444">
        <v>14</v>
      </c>
    </row>
    <row r="11" spans="1:17" s="2247" customFormat="1" ht="44.25" customHeight="1">
      <c r="A11" s="1550"/>
      <c r="B11" s="1285"/>
      <c r="C11" s="1550"/>
      <c r="D11" s="1434"/>
      <c r="E11" s="2711" t="s">
        <v>87</v>
      </c>
      <c r="F11" s="2711" t="s">
        <v>302</v>
      </c>
      <c r="G11" s="2711" t="s">
        <v>1907</v>
      </c>
      <c r="H11" s="2711"/>
      <c r="I11" s="2711" t="s">
        <v>1908</v>
      </c>
      <c r="J11" s="2711"/>
      <c r="K11" s="2711"/>
      <c r="L11" s="2711" t="s">
        <v>1909</v>
      </c>
      <c r="M11" s="2700" t="s">
        <v>1910</v>
      </c>
      <c r="N11" s="2710"/>
      <c r="O11" s="1543"/>
      <c r="P11" s="1543"/>
      <c r="Q11" s="1528">
        <v>42</v>
      </c>
    </row>
    <row r="12" spans="1:17" s="2247" customFormat="1" ht="29.25" customHeight="1">
      <c r="A12" s="1074"/>
      <c r="B12" s="1079"/>
      <c r="C12" s="1074"/>
      <c r="D12" s="1414"/>
      <c r="E12" s="2698"/>
      <c r="F12" s="2711"/>
      <c r="G12" s="1825" t="s">
        <v>1911</v>
      </c>
      <c r="H12" s="1825" t="s">
        <v>306</v>
      </c>
      <c r="I12" s="2711"/>
      <c r="J12" s="2711"/>
      <c r="K12" s="2711"/>
      <c r="L12" s="2711"/>
      <c r="M12" s="2700"/>
      <c r="N12" s="2699"/>
      <c r="O12" s="437"/>
      <c r="P12" s="437"/>
      <c r="Q12" s="444">
        <v>28</v>
      </c>
    </row>
    <row r="13" spans="1:17" s="2248" customFormat="1" ht="23.25" customHeight="1">
      <c r="A13" s="2338">
        <v>26379339</v>
      </c>
      <c r="B13" s="1079">
        <v>1</v>
      </c>
      <c r="C13" s="1079"/>
      <c r="D13" s="732"/>
      <c r="E13" s="2363">
        <v>1</v>
      </c>
      <c r="F13" s="2705" t="str">
        <f>IF(region_name="","",region_name)</f>
        <v>Республика Марий Эл</v>
      </c>
      <c r="G13" s="2706"/>
      <c r="H13" s="2713"/>
      <c r="I13" s="411"/>
      <c r="J13" s="1821">
        <v>1</v>
      </c>
      <c r="K13" s="1834"/>
      <c r="L13" s="1835"/>
      <c r="M13" s="1835"/>
      <c r="N13" s="2707" t="s">
        <v>1912</v>
      </c>
      <c r="O13" s="1454"/>
      <c r="P13" s="448"/>
      <c r="Q13" s="360">
        <v>22</v>
      </c>
    </row>
    <row r="14" spans="1:17" s="2248" customFormat="1" ht="23.25" customHeight="1">
      <c r="A14" s="2338"/>
      <c r="B14" s="1079"/>
      <c r="C14" s="1079"/>
      <c r="D14" s="732"/>
      <c r="E14" s="2363"/>
      <c r="F14" s="2705"/>
      <c r="G14" s="2706"/>
      <c r="H14" s="2714"/>
      <c r="I14" s="358"/>
      <c r="J14" s="1419"/>
      <c r="K14" s="1419" t="s">
        <v>1906</v>
      </c>
      <c r="L14" s="1462"/>
      <c r="M14" s="1462"/>
      <c r="N14" s="2708"/>
      <c r="O14" s="1454"/>
      <c r="P14" s="448"/>
      <c r="Q14" s="360">
        <v>22</v>
      </c>
    </row>
    <row r="15" spans="1:17" s="2248" customFormat="1" ht="23.25" customHeight="1">
      <c r="A15" s="2338"/>
      <c r="B15" s="1079"/>
      <c r="C15" s="349"/>
      <c r="D15" s="732"/>
      <c r="E15" s="358"/>
      <c r="F15" s="1419" t="s">
        <v>1898</v>
      </c>
      <c r="G15" s="1461"/>
      <c r="H15" s="1461"/>
      <c r="I15" s="124"/>
      <c r="J15" s="124"/>
      <c r="K15" s="124"/>
      <c r="L15" s="124"/>
      <c r="M15" s="124"/>
      <c r="N15" s="2708"/>
      <c r="O15" s="1455"/>
      <c r="P15" s="448"/>
      <c r="Q15" s="360">
        <v>22</v>
      </c>
    </row>
    <row r="16" spans="1:17" s="2247" customFormat="1" ht="21.95" customHeight="1">
      <c r="A16" s="1074"/>
      <c r="B16" s="1079"/>
      <c r="C16" s="1074"/>
      <c r="D16" s="388"/>
      <c r="E16" s="117"/>
      <c r="F16" s="117"/>
      <c r="G16" s="117"/>
      <c r="H16" s="117"/>
      <c r="I16" s="117"/>
      <c r="J16" s="117"/>
      <c r="K16" s="117"/>
      <c r="L16" s="117"/>
      <c r="M16" s="446"/>
      <c r="N16" s="1554"/>
      <c r="O16" s="437"/>
      <c r="P16" s="437"/>
      <c r="Q16" s="444">
        <v>21</v>
      </c>
    </row>
    <row r="17" spans="1:17" s="2247" customFormat="1" ht="14.65" customHeight="1">
      <c r="A17" s="1074"/>
      <c r="B17" s="1079"/>
      <c r="C17" s="1074"/>
      <c r="D17" s="388"/>
      <c r="E17" s="1074"/>
      <c r="F17" s="1074"/>
      <c r="G17" s="1074"/>
      <c r="H17" s="1074"/>
      <c r="I17" s="1074"/>
      <c r="J17" s="1074"/>
      <c r="K17" s="1074"/>
      <c r="L17" s="1074"/>
      <c r="M17" s="1074"/>
      <c r="N17" s="1550"/>
      <c r="O17" s="437"/>
      <c r="P17" s="437"/>
      <c r="Q17" s="444">
        <v>14</v>
      </c>
    </row>
    <row r="18" spans="1:17" s="2247" customFormat="1" ht="1.1499999999999999" customHeight="1">
      <c r="A18" s="1074"/>
      <c r="B18" s="1079"/>
      <c r="C18" s="1074"/>
      <c r="D18" s="388"/>
      <c r="E18" s="1074"/>
      <c r="F18" s="1074"/>
      <c r="G18" s="1074"/>
      <c r="H18" s="1074"/>
      <c r="I18" s="1074"/>
      <c r="J18" s="1074"/>
      <c r="K18" s="1074"/>
      <c r="L18" s="1074"/>
      <c r="M18" s="1074"/>
      <c r="N18" s="1550"/>
      <c r="O18" s="437"/>
      <c r="P18" s="437"/>
      <c r="Q18" s="444">
        <v>1</v>
      </c>
    </row>
    <row r="19" spans="1:17" ht="22.5" hidden="1" customHeight="1">
      <c r="A19" s="1074" t="s">
        <v>81</v>
      </c>
      <c r="B19" s="1079">
        <v>0</v>
      </c>
      <c r="C19" s="1074">
        <v>0</v>
      </c>
      <c r="D19" s="388">
        <v>3</v>
      </c>
      <c r="E19" s="1074">
        <v>6</v>
      </c>
      <c r="F19" s="1074">
        <v>27</v>
      </c>
      <c r="G19" s="1074">
        <v>29</v>
      </c>
      <c r="H19" s="1074">
        <v>25</v>
      </c>
      <c r="I19" s="1074">
        <v>5</v>
      </c>
      <c r="J19" s="1074">
        <v>6</v>
      </c>
      <c r="K19" s="1074">
        <v>41</v>
      </c>
      <c r="L19" s="1074">
        <v>42</v>
      </c>
      <c r="M19" s="1074">
        <v>41</v>
      </c>
      <c r="N19" s="1550">
        <v>89</v>
      </c>
      <c r="O19" s="437">
        <v>3</v>
      </c>
      <c r="P19" s="437">
        <v>8</v>
      </c>
      <c r="Q19" s="1074">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261" hidden="1"/>
    <col min="2" max="2" width="9.140625" style="2294" hidden="1"/>
    <col min="3" max="3" width="3" style="2303" customWidth="1"/>
    <col min="4" max="4" width="6" style="2294" customWidth="1"/>
    <col min="5" max="5" width="22" style="2294" customWidth="1"/>
    <col min="6" max="6" width="15" style="2294" customWidth="1"/>
    <col min="7" max="7" width="14" style="2294" customWidth="1"/>
    <col min="8" max="8" width="47" style="2294" customWidth="1"/>
    <col min="9" max="9" width="115" style="2294" customWidth="1"/>
    <col min="10" max="10" width="3" style="2294" customWidth="1"/>
    <col min="11" max="12" width="8" style="2294" customWidth="1"/>
    <col min="13" max="13" width="9.140625" style="2294"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238" customFormat="1" ht="31.5" customHeight="1">
      <c r="A5" s="55"/>
      <c r="C5" s="30"/>
      <c r="D5" s="2339" t="s">
        <v>1913</v>
      </c>
      <c r="E5" s="2339"/>
      <c r="F5" s="2339"/>
      <c r="G5" s="2339"/>
      <c r="H5" s="2339"/>
      <c r="I5" s="202"/>
      <c r="M5" s="23">
        <v>30</v>
      </c>
    </row>
    <row r="6" spans="1:13" ht="3" hidden="1" customHeight="1">
      <c r="D6" s="62"/>
      <c r="E6" s="62"/>
      <c r="F6" s="62"/>
      <c r="G6" s="62"/>
      <c r="H6" s="62"/>
      <c r="I6" s="62"/>
      <c r="M6" s="61">
        <v>0</v>
      </c>
    </row>
    <row r="7" spans="1:13" s="2261" customFormat="1" ht="14.65" customHeight="1">
      <c r="B7" s="59"/>
      <c r="C7" s="60"/>
      <c r="D7" s="63"/>
      <c r="E7" s="63"/>
      <c r="F7" s="63"/>
      <c r="G7" s="63"/>
      <c r="H7" s="689"/>
      <c r="I7" s="63"/>
      <c r="J7" s="64"/>
      <c r="M7" s="58">
        <v>14</v>
      </c>
    </row>
    <row r="8" spans="1:13" ht="14.65" customHeight="1">
      <c r="D8" s="2442" t="s">
        <v>298</v>
      </c>
      <c r="E8" s="2442"/>
      <c r="F8" s="2442"/>
      <c r="G8" s="2442"/>
      <c r="H8" s="2442"/>
      <c r="I8" s="2442" t="s">
        <v>299</v>
      </c>
      <c r="M8" s="61">
        <v>14</v>
      </c>
    </row>
    <row r="9" spans="1:13" ht="29.25" customHeight="1">
      <c r="D9" s="2442" t="s">
        <v>87</v>
      </c>
      <c r="E9" s="2442" t="s">
        <v>1914</v>
      </c>
      <c r="F9" s="2442"/>
      <c r="G9" s="2442"/>
      <c r="H9" s="2442"/>
      <c r="I9" s="2442"/>
      <c r="M9" s="61">
        <v>28</v>
      </c>
    </row>
    <row r="10" spans="1:13" ht="24" customHeight="1">
      <c r="D10" s="2442"/>
      <c r="E10" s="67" t="s">
        <v>1915</v>
      </c>
      <c r="F10" s="67" t="s">
        <v>1916</v>
      </c>
      <c r="G10" s="67" t="s">
        <v>1917</v>
      </c>
      <c r="H10" s="67" t="s">
        <v>388</v>
      </c>
      <c r="I10" s="2442"/>
      <c r="M10" s="61">
        <v>23</v>
      </c>
    </row>
    <row r="11" spans="1:13" ht="12" hidden="1" customHeight="1">
      <c r="D11" s="27" t="s">
        <v>108</v>
      </c>
      <c r="E11" s="27" t="s">
        <v>90</v>
      </c>
      <c r="F11" s="27" t="s">
        <v>110</v>
      </c>
      <c r="G11" s="27" t="s">
        <v>91</v>
      </c>
      <c r="H11" s="27" t="s">
        <v>92</v>
      </c>
      <c r="I11" s="27" t="s">
        <v>111</v>
      </c>
      <c r="M11" s="61">
        <v>0</v>
      </c>
    </row>
    <row r="12" spans="1:13" s="2294" customFormat="1" ht="26.25" customHeight="1">
      <c r="A12" s="83" t="s">
        <v>89</v>
      </c>
      <c r="B12" s="65" t="s">
        <v>22</v>
      </c>
      <c r="C12" s="66"/>
      <c r="D12" s="68" t="s">
        <v>108</v>
      </c>
      <c r="E12" s="318"/>
      <c r="F12" s="318"/>
      <c r="G12" s="1652" t="s">
        <v>22</v>
      </c>
      <c r="H12" s="319"/>
      <c r="I12" s="2405" t="s">
        <v>1918</v>
      </c>
      <c r="K12" s="209"/>
      <c r="L12" s="210"/>
      <c r="M12" s="57">
        <v>25</v>
      </c>
    </row>
    <row r="13" spans="1:13" ht="15.75" customHeight="1">
      <c r="A13" s="61"/>
      <c r="B13" s="61"/>
      <c r="C13" s="61"/>
      <c r="D13" s="49"/>
      <c r="E13" s="70" t="s">
        <v>466</v>
      </c>
      <c r="F13" s="69"/>
      <c r="G13" s="69"/>
      <c r="H13" s="151"/>
      <c r="I13" s="2407"/>
      <c r="M13" s="61">
        <v>15</v>
      </c>
    </row>
    <row r="14" spans="1:13" ht="3" customHeight="1">
      <c r="A14" s="61"/>
      <c r="B14" s="61"/>
      <c r="C14" s="61"/>
      <c r="M14" s="61">
        <v>3</v>
      </c>
    </row>
    <row r="15" spans="1:13" ht="29.25" customHeight="1">
      <c r="E15" s="2715" t="s">
        <v>1919</v>
      </c>
      <c r="F15" s="2715"/>
      <c r="G15" s="2715"/>
      <c r="H15" s="2715"/>
      <c r="M15" s="61">
        <v>28</v>
      </c>
    </row>
    <row r="16" spans="1:13" ht="14.25" hidden="1" customHeight="1">
      <c r="A16" s="58" t="s">
        <v>81</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304" hidden="1"/>
    <col min="3" max="3" width="3" style="2305" customWidth="1"/>
    <col min="4" max="4" width="6" style="2304" customWidth="1"/>
    <col min="5" max="5" width="94" style="2304" customWidth="1"/>
    <col min="6" max="9" width="8" style="2304" customWidth="1"/>
    <col min="10" max="10" width="9.140625" style="2304"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716" t="s">
        <v>1920</v>
      </c>
      <c r="E7" s="2717"/>
      <c r="F7" s="204"/>
      <c r="J7" s="9">
        <v>22</v>
      </c>
    </row>
    <row r="8" spans="1:10" ht="3" customHeight="1">
      <c r="C8" s="32"/>
      <c r="D8" s="10"/>
      <c r="E8" s="10"/>
      <c r="J8" s="9">
        <v>3</v>
      </c>
    </row>
    <row r="9" spans="1:10" ht="16.899999999999999" customHeight="1">
      <c r="C9" s="32"/>
      <c r="D9" s="45" t="s">
        <v>87</v>
      </c>
      <c r="E9" s="197" t="s">
        <v>1921</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4"/>
      <c r="J12" s="9">
        <v>15</v>
      </c>
    </row>
    <row r="13" spans="1:10" ht="12.75" customHeight="1">
      <c r="C13" s="32"/>
      <c r="D13" s="199"/>
      <c r="E13" s="200" t="s">
        <v>1922</v>
      </c>
      <c r="J13" s="9">
        <v>12</v>
      </c>
    </row>
    <row r="14" spans="1:10" ht="3" customHeight="1">
      <c r="J14" s="9">
        <v>3</v>
      </c>
    </row>
    <row r="15" spans="1:10" ht="23.25" customHeight="1">
      <c r="C15" s="76"/>
      <c r="D15" s="2715" t="s">
        <v>1923</v>
      </c>
      <c r="E15" s="2715"/>
      <c r="F15" s="77"/>
      <c r="G15" s="77"/>
      <c r="H15" s="77"/>
      <c r="I15" s="77"/>
      <c r="J15" s="9">
        <v>22</v>
      </c>
    </row>
    <row r="16" spans="1:10" ht="14.25" hidden="1" customHeight="1">
      <c r="A16" s="9" t="s">
        <v>81</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6"/>
  <sheetViews>
    <sheetView showGridLines="0" tabSelected="1" topLeftCell="C6" zoomScale="90" workbookViewId="0">
      <selection activeCell="E14" sqref="E14"/>
    </sheetView>
  </sheetViews>
  <sheetFormatPr defaultColWidth="9.140625" defaultRowHeight="14.25" customHeight="1"/>
  <cols>
    <col min="1" max="2" width="9.140625" style="2304" hidden="1"/>
    <col min="3" max="3" width="3" style="2305" customWidth="1"/>
    <col min="4" max="4" width="6" style="2304" customWidth="1"/>
    <col min="5" max="5" width="94" style="2304" customWidth="1"/>
    <col min="6" max="12" width="8" style="2304" customWidth="1"/>
    <col min="13" max="13" width="9.140625" style="2304"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339" t="s">
        <v>1924</v>
      </c>
      <c r="E7" s="2339"/>
      <c r="F7" s="204"/>
      <c r="M7" s="9">
        <v>22</v>
      </c>
    </row>
    <row r="8" spans="1:13" ht="3" customHeight="1">
      <c r="C8" s="32"/>
      <c r="D8" s="10"/>
      <c r="E8" s="10"/>
      <c r="M8" s="9">
        <v>3</v>
      </c>
    </row>
    <row r="9" spans="1:13" ht="16.899999999999999" customHeight="1">
      <c r="C9" s="32"/>
      <c r="D9" s="45" t="s">
        <v>87</v>
      </c>
      <c r="E9" s="48" t="s">
        <v>285</v>
      </c>
      <c r="M9" s="9">
        <v>16</v>
      </c>
    </row>
    <row r="10" spans="1:13" ht="12.75" customHeight="1">
      <c r="C10" s="32"/>
      <c r="D10" s="27" t="s">
        <v>108</v>
      </c>
      <c r="E10" s="27" t="s">
        <v>109</v>
      </c>
      <c r="M10" s="9">
        <v>12</v>
      </c>
    </row>
    <row r="11" spans="1:13" ht="15" hidden="1" customHeight="1">
      <c r="C11" s="32"/>
      <c r="D11" s="53">
        <v>0</v>
      </c>
      <c r="E11" s="87"/>
      <c r="M11" s="9">
        <v>0</v>
      </c>
    </row>
    <row r="12" spans="1:13" ht="43.5" customHeight="1">
      <c r="A12" s="2215"/>
      <c r="B12" s="2215"/>
      <c r="C12" s="1735" t="s">
        <v>575</v>
      </c>
      <c r="D12" s="53" t="s">
        <v>108</v>
      </c>
      <c r="E12" s="54" t="s">
        <v>1925</v>
      </c>
      <c r="F12" s="2215"/>
      <c r="G12" s="2215"/>
      <c r="H12" s="2215"/>
      <c r="I12" s="2215"/>
      <c r="J12" s="2215"/>
      <c r="K12" s="2215"/>
      <c r="L12" s="2215"/>
      <c r="M12" s="2215"/>
    </row>
    <row r="13" spans="1:13" ht="46.5" customHeight="1">
      <c r="A13" s="2215"/>
      <c r="B13" s="2215"/>
      <c r="C13" s="1735" t="s">
        <v>575</v>
      </c>
      <c r="D13" s="53" t="s">
        <v>109</v>
      </c>
      <c r="E13" s="54" t="s">
        <v>1926</v>
      </c>
      <c r="F13" s="2215"/>
      <c r="G13" s="2215"/>
      <c r="H13" s="2215"/>
      <c r="I13" s="2215"/>
      <c r="J13" s="2215"/>
      <c r="K13" s="2215"/>
      <c r="L13" s="2215"/>
      <c r="M13" s="2215"/>
    </row>
    <row r="14" spans="1:13" ht="44.25" customHeight="1">
      <c r="A14" s="2220"/>
      <c r="B14" s="2220"/>
      <c r="C14" s="1735" t="s">
        <v>575</v>
      </c>
      <c r="D14" s="53" t="s">
        <v>89</v>
      </c>
      <c r="E14" s="54" t="s">
        <v>1927</v>
      </c>
      <c r="F14" s="2220"/>
      <c r="G14" s="2220"/>
      <c r="H14" s="2220"/>
      <c r="I14" s="2220"/>
      <c r="J14" s="2220"/>
      <c r="K14" s="2220"/>
      <c r="L14" s="2220"/>
      <c r="M14" s="2220"/>
    </row>
    <row r="15" spans="1:13" ht="14.65" customHeight="1">
      <c r="C15" s="32"/>
      <c r="D15" s="49"/>
      <c r="E15" s="47" t="s">
        <v>1922</v>
      </c>
      <c r="M15" s="9">
        <v>14</v>
      </c>
    </row>
    <row r="16" spans="1:13" ht="14.25" hidden="1" customHeight="1">
      <c r="A16" s="9" t="s">
        <v>81</v>
      </c>
      <c r="B16" s="9">
        <v>0</v>
      </c>
      <c r="C16" s="31">
        <v>3</v>
      </c>
      <c r="D16" s="9">
        <v>6</v>
      </c>
      <c r="E16" s="9">
        <v>94</v>
      </c>
      <c r="F16" s="9">
        <v>8</v>
      </c>
      <c r="G16" s="9">
        <v>8</v>
      </c>
      <c r="H16" s="9">
        <v>8</v>
      </c>
      <c r="I16" s="9">
        <v>8</v>
      </c>
      <c r="J16" s="9">
        <v>8</v>
      </c>
      <c r="K16" s="9">
        <v>8</v>
      </c>
      <c r="L16" s="9">
        <v>8</v>
      </c>
      <c r="M16" s="9">
        <v>14</v>
      </c>
    </row>
  </sheetData>
  <sheetProtection formatColumns="0" formatRows="0" insertRows="0" deleteColumns="0" deleteRows="0" sort="0" autoFilter="0"/>
  <mergeCells count="1">
    <mergeCell ref="D7:E7"/>
  </mergeCells>
  <dataValidations count="4">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4">
      <formula1>900</formula1>
    </dataValidation>
  </dataValidations>
  <pageMargins left="0.75" right="0.75" top="1" bottom="1" header="0.5" footer="0.5"/>
  <pageSetup paperSize="9" scale="96" orientation="portrait" r:id="rId1"/>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2248" hidden="1"/>
    <col min="3" max="4" width="3" style="2248" customWidth="1"/>
    <col min="5" max="6" width="15" style="2248" customWidth="1"/>
    <col min="7" max="7" width="11.5703125" style="2248" customWidth="1"/>
    <col min="8" max="9" width="3" style="2248" customWidth="1"/>
    <col min="10" max="10" width="12" style="2248" customWidth="1"/>
    <col min="11" max="11" width="0.28515625" style="2248" customWidth="1"/>
    <col min="12" max="13" width="10" style="2248" customWidth="1"/>
    <col min="14" max="15" width="3" style="2248" customWidth="1"/>
    <col min="16" max="16" width="19" style="2248" customWidth="1"/>
    <col min="17" max="17" width="0.28515625" style="2248" customWidth="1"/>
    <col min="18" max="19" width="10" style="2248" customWidth="1"/>
    <col min="20" max="21" width="3" style="2248" customWidth="1"/>
    <col min="22" max="22" width="25" style="2248" customWidth="1"/>
    <col min="23" max="23" width="0.28515625" style="2248" customWidth="1"/>
    <col min="24" max="25" width="10" style="2248" customWidth="1"/>
    <col min="26" max="27" width="3" style="2248" customWidth="1"/>
    <col min="28" max="28" width="16" style="2248" customWidth="1"/>
    <col min="29" max="29" width="0.28515625" style="2248" customWidth="1"/>
    <col min="30" max="31" width="10" style="2248" customWidth="1"/>
    <col min="32" max="33" width="3" style="2248" customWidth="1"/>
    <col min="34" max="34" width="8" style="2248" customWidth="1"/>
    <col min="35" max="35" width="21" style="2248" customWidth="1"/>
    <col min="36" max="36" width="8" style="2248" customWidth="1"/>
    <col min="37" max="37" width="8" style="2261" customWidth="1"/>
    <col min="38" max="64" width="8" style="2248" customWidth="1"/>
    <col min="65" max="65" width="9.140625" style="2248" hidden="1"/>
  </cols>
  <sheetData>
    <row r="1" spans="1:65" s="2258"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2259" customFormat="1" ht="11.25" hidden="1" customHeight="1">
      <c r="L2" s="1472" t="s">
        <v>277</v>
      </c>
      <c r="M2" s="1472" t="s">
        <v>278</v>
      </c>
      <c r="R2" s="1472" t="s">
        <v>279</v>
      </c>
      <c r="S2" s="1472" t="s">
        <v>278</v>
      </c>
      <c r="X2" s="1472" t="s">
        <v>277</v>
      </c>
      <c r="Y2" s="1472" t="s">
        <v>278</v>
      </c>
      <c r="AD2" s="1472" t="s">
        <v>277</v>
      </c>
      <c r="AE2" s="1472" t="s">
        <v>278</v>
      </c>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72">
        <v>0</v>
      </c>
    </row>
    <row r="3" spans="1:65" s="2260" customFormat="1" ht="11.45" customHeight="1">
      <c r="AJ3" s="1493"/>
      <c r="AK3" s="243"/>
      <c r="AL3" s="1493"/>
      <c r="AM3" s="1493"/>
      <c r="AN3" s="1493"/>
      <c r="AO3" s="1493"/>
      <c r="AP3" s="1493"/>
      <c r="AQ3" s="1493"/>
      <c r="AR3" s="1493"/>
      <c r="AS3" s="1493"/>
      <c r="AT3" s="1493"/>
      <c r="AU3" s="1493"/>
      <c r="AV3" s="1493"/>
      <c r="AW3" s="1493"/>
      <c r="AX3" s="1493"/>
      <c r="AY3" s="1493"/>
      <c r="AZ3" s="1493"/>
      <c r="BA3" s="1493"/>
      <c r="BB3" s="1493"/>
      <c r="BC3" s="1493"/>
      <c r="BD3" s="1493"/>
      <c r="BE3" s="1493"/>
      <c r="BF3" s="1493"/>
      <c r="BG3" s="1493"/>
      <c r="BH3" s="1493"/>
      <c r="BI3" s="1493"/>
      <c r="BJ3" s="1493"/>
      <c r="BK3" s="1493"/>
      <c r="BL3" s="1493"/>
      <c r="BM3" s="1473">
        <v>11</v>
      </c>
    </row>
    <row r="4" spans="1:65" s="2247" customFormat="1" ht="34.5" customHeight="1">
      <c r="A4" s="1075"/>
      <c r="B4" s="1074"/>
      <c r="C4" s="1434"/>
      <c r="D4" s="2427" t="s">
        <v>280</v>
      </c>
      <c r="E4" s="2427"/>
      <c r="F4" s="2427"/>
      <c r="G4" s="2427"/>
      <c r="H4" s="2427"/>
      <c r="I4" s="2427"/>
      <c r="J4" s="2427"/>
      <c r="K4" s="636"/>
      <c r="T4" s="1474"/>
      <c r="AJ4" s="1495"/>
      <c r="AK4" s="1496"/>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c r="BM4" s="444">
        <v>33</v>
      </c>
    </row>
    <row r="5" spans="1:65" s="2247" customFormat="1" ht="14.65" customHeight="1">
      <c r="A5" s="1551"/>
      <c r="B5" s="1550"/>
      <c r="C5" s="1434"/>
      <c r="D5" s="2412" t="str">
        <f>IF(org=0,"Не определено",org)</f>
        <v>МУП "Водоканал"</v>
      </c>
      <c r="E5" s="2412"/>
      <c r="F5" s="2412"/>
      <c r="G5" s="2412"/>
      <c r="H5" s="2412"/>
      <c r="I5" s="2412"/>
      <c r="J5" s="2412"/>
      <c r="K5" s="636"/>
      <c r="T5" s="1474"/>
      <c r="AJ5" s="1495"/>
      <c r="AK5" s="1496"/>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c r="BM5" s="1528">
        <v>14</v>
      </c>
    </row>
    <row r="6" spans="1:65" s="2247" customFormat="1" ht="14.65" customHeight="1">
      <c r="A6" s="1075"/>
      <c r="B6" s="1074"/>
      <c r="C6" s="1434"/>
      <c r="D6" s="636"/>
      <c r="E6" s="636"/>
      <c r="F6" s="636"/>
      <c r="G6" s="636"/>
      <c r="H6" s="636"/>
      <c r="I6" s="636"/>
      <c r="J6" s="636"/>
      <c r="K6" s="636"/>
      <c r="T6" s="1474"/>
      <c r="AJ6" s="1495"/>
      <c r="AK6" s="1496"/>
      <c r="AL6" s="1495"/>
      <c r="AM6" s="1495"/>
      <c r="AN6" s="1495"/>
      <c r="AO6" s="1495"/>
      <c r="AP6" s="1495"/>
      <c r="AQ6" s="1495"/>
      <c r="AR6" s="1495"/>
      <c r="AS6" s="1495"/>
      <c r="AT6" s="1495"/>
      <c r="AU6" s="1495"/>
      <c r="AV6" s="1495"/>
      <c r="AW6" s="1495"/>
      <c r="AX6" s="1495"/>
      <c r="AY6" s="1495"/>
      <c r="AZ6" s="1495"/>
      <c r="BA6" s="1495"/>
      <c r="BB6" s="1495"/>
      <c r="BC6" s="1495"/>
      <c r="BD6" s="1495"/>
      <c r="BE6" s="1495"/>
      <c r="BF6" s="1495"/>
      <c r="BG6" s="1495"/>
      <c r="BH6" s="1495"/>
      <c r="BI6" s="1495"/>
      <c r="BJ6" s="1495"/>
      <c r="BK6" s="1495"/>
      <c r="BL6" s="1495"/>
      <c r="BM6" s="444">
        <v>14</v>
      </c>
    </row>
    <row r="7" spans="1:65" s="2258"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363" t="s">
        <v>87</v>
      </c>
      <c r="E8" s="2363" t="s">
        <v>104</v>
      </c>
      <c r="F8" s="2428" t="s">
        <v>122</v>
      </c>
      <c r="G8" s="2429"/>
      <c r="H8" s="2428" t="s">
        <v>87</v>
      </c>
      <c r="I8" s="2429"/>
      <c r="J8" s="2363" t="s">
        <v>123</v>
      </c>
      <c r="K8" s="1475"/>
      <c r="L8" s="2411" t="s">
        <v>281</v>
      </c>
      <c r="M8" s="2411"/>
      <c r="N8" s="2411"/>
      <c r="O8" s="2411"/>
      <c r="P8" s="2411"/>
      <c r="Q8" s="1476"/>
      <c r="R8" s="2335" t="s">
        <v>282</v>
      </c>
      <c r="S8" s="2340"/>
      <c r="T8" s="2340"/>
      <c r="U8" s="2340"/>
      <c r="V8" s="2340"/>
      <c r="W8" s="1476"/>
      <c r="X8" s="2363" t="s">
        <v>283</v>
      </c>
      <c r="Y8" s="2363"/>
      <c r="Z8" s="2363"/>
      <c r="AA8" s="2363"/>
      <c r="AB8" s="2363"/>
      <c r="AC8" s="1477"/>
      <c r="AD8" s="2363" t="s">
        <v>284</v>
      </c>
      <c r="AE8" s="2363"/>
      <c r="AF8" s="2363"/>
      <c r="AG8" s="2363"/>
      <c r="AH8" s="2335"/>
      <c r="AI8" s="2363" t="s">
        <v>285</v>
      </c>
      <c r="AJ8" s="1493"/>
      <c r="BM8" s="230">
        <v>32</v>
      </c>
    </row>
    <row r="9" spans="1:65" ht="23.25" customHeight="1">
      <c r="D9" s="2363"/>
      <c r="E9" s="2363"/>
      <c r="F9" s="2411" t="s">
        <v>88</v>
      </c>
      <c r="G9" s="2411" t="s">
        <v>128</v>
      </c>
      <c r="H9" s="2430"/>
      <c r="I9" s="2431"/>
      <c r="J9" s="2335"/>
      <c r="K9" s="1478"/>
      <c r="L9" s="2363" t="s">
        <v>286</v>
      </c>
      <c r="M9" s="2335"/>
      <c r="N9" s="2428" t="s">
        <v>87</v>
      </c>
      <c r="O9" s="2429"/>
      <c r="P9" s="2363" t="s">
        <v>129</v>
      </c>
      <c r="Q9" s="1475"/>
      <c r="R9" s="2363" t="s">
        <v>286</v>
      </c>
      <c r="S9" s="2335"/>
      <c r="T9" s="2428" t="s">
        <v>87</v>
      </c>
      <c r="U9" s="2429"/>
      <c r="V9" s="2363" t="s">
        <v>129</v>
      </c>
      <c r="W9" s="1475"/>
      <c r="X9" s="2363" t="s">
        <v>286</v>
      </c>
      <c r="Y9" s="2335"/>
      <c r="Z9" s="2428" t="s">
        <v>87</v>
      </c>
      <c r="AA9" s="2429"/>
      <c r="AB9" s="2363" t="s">
        <v>287</v>
      </c>
      <c r="AC9" s="1475"/>
      <c r="AD9" s="2363" t="s">
        <v>286</v>
      </c>
      <c r="AE9" s="2335"/>
      <c r="AF9" s="2428" t="s">
        <v>87</v>
      </c>
      <c r="AG9" s="2429"/>
      <c r="AH9" s="2335" t="s">
        <v>287</v>
      </c>
      <c r="AI9" s="2363"/>
      <c r="AJ9" s="1493"/>
      <c r="BM9" s="230">
        <v>22</v>
      </c>
    </row>
    <row r="10" spans="1:65" ht="24" customHeight="1">
      <c r="D10" s="2411"/>
      <c r="E10" s="2411"/>
      <c r="F10" s="2432"/>
      <c r="G10" s="2432"/>
      <c r="H10" s="2433"/>
      <c r="I10" s="2434"/>
      <c r="J10" s="2428"/>
      <c r="K10" s="1478"/>
      <c r="L10" s="1497" t="s">
        <v>288</v>
      </c>
      <c r="M10" s="1492" t="s">
        <v>289</v>
      </c>
      <c r="N10" s="2430"/>
      <c r="O10" s="2431"/>
      <c r="P10" s="2411"/>
      <c r="Q10" s="1475"/>
      <c r="R10" s="1497" t="s">
        <v>288</v>
      </c>
      <c r="S10" s="1492" t="s">
        <v>289</v>
      </c>
      <c r="T10" s="2430"/>
      <c r="U10" s="2431"/>
      <c r="V10" s="2411"/>
      <c r="W10" s="1475"/>
      <c r="X10" s="1497" t="s">
        <v>288</v>
      </c>
      <c r="Y10" s="1492" t="s">
        <v>289</v>
      </c>
      <c r="Z10" s="2430"/>
      <c r="AA10" s="2431"/>
      <c r="AB10" s="2411"/>
      <c r="AC10" s="1475"/>
      <c r="AD10" s="1497" t="s">
        <v>288</v>
      </c>
      <c r="AE10" s="1492" t="s">
        <v>289</v>
      </c>
      <c r="AF10" s="2430"/>
      <c r="AG10" s="2431"/>
      <c r="AH10" s="2428"/>
      <c r="AI10" s="2411"/>
      <c r="AJ10" s="1493"/>
      <c r="AK10" s="191" t="s">
        <v>290</v>
      </c>
      <c r="AL10" s="191" t="s">
        <v>130</v>
      </c>
      <c r="BM10" s="230">
        <v>23</v>
      </c>
    </row>
    <row r="11" spans="1:65" ht="15" customHeight="1">
      <c r="D11" s="2419" t="s">
        <v>108</v>
      </c>
      <c r="E11" s="2415" t="s">
        <v>291</v>
      </c>
      <c r="F11" s="2415" t="s">
        <v>292</v>
      </c>
      <c r="G11" s="2421" t="s">
        <v>19</v>
      </c>
      <c r="H11" s="1518"/>
      <c r="I11" s="2417"/>
      <c r="J11" s="2388"/>
      <c r="K11" s="1433"/>
      <c r="L11" s="2373"/>
      <c r="M11" s="2373"/>
      <c r="N11" s="1503"/>
      <c r="O11" s="2373"/>
      <c r="P11" s="2388"/>
      <c r="Q11" s="1504"/>
      <c r="R11" s="2373"/>
      <c r="S11" s="2373"/>
      <c r="T11" s="1505"/>
      <c r="U11" s="2373"/>
      <c r="V11" s="2388"/>
      <c r="W11" s="1506"/>
      <c r="X11" s="2373"/>
      <c r="Y11" s="2373"/>
      <c r="Z11" s="1503"/>
      <c r="AA11" s="2373"/>
      <c r="AB11" s="2388"/>
      <c r="AC11" s="1507"/>
      <c r="AD11" s="2373"/>
      <c r="AE11" s="2373"/>
      <c r="AF11" s="1432"/>
      <c r="AG11" s="1432"/>
      <c r="AH11" s="1508"/>
      <c r="AI11" s="1215"/>
      <c r="AJ11" s="1493"/>
      <c r="BM11" s="230">
        <v>14</v>
      </c>
    </row>
    <row r="12" spans="1:65" ht="14.65" customHeight="1">
      <c r="D12" s="2419"/>
      <c r="E12" s="2415"/>
      <c r="F12" s="2415"/>
      <c r="G12" s="2422"/>
      <c r="H12" s="1519"/>
      <c r="I12" s="2418"/>
      <c r="J12" s="2389"/>
      <c r="K12" s="1529"/>
      <c r="L12" s="2374"/>
      <c r="M12" s="2374"/>
      <c r="N12" s="1509"/>
      <c r="O12" s="2374"/>
      <c r="P12" s="2389"/>
      <c r="Q12" s="1510"/>
      <c r="R12" s="2374"/>
      <c r="S12" s="2374"/>
      <c r="T12" s="1511"/>
      <c r="U12" s="2374"/>
      <c r="V12" s="2389"/>
      <c r="W12" s="1512"/>
      <c r="X12" s="2374"/>
      <c r="Y12" s="2374"/>
      <c r="Z12" s="1509"/>
      <c r="AA12" s="2374"/>
      <c r="AB12" s="2389"/>
      <c r="AC12" s="1513"/>
      <c r="AD12" s="2374"/>
      <c r="AE12" s="2374"/>
      <c r="AF12" s="1514"/>
      <c r="AG12" s="1514"/>
      <c r="AH12" s="2413"/>
      <c r="AI12" s="2414"/>
      <c r="AJ12" s="1493"/>
      <c r="BM12" s="230">
        <v>14</v>
      </c>
    </row>
    <row r="13" spans="1:65" ht="14.65" customHeight="1">
      <c r="D13" s="2419"/>
      <c r="E13" s="2415"/>
      <c r="F13" s="2415"/>
      <c r="G13" s="2422"/>
      <c r="H13" s="1519"/>
      <c r="I13" s="2418"/>
      <c r="J13" s="2389"/>
      <c r="K13" s="1529"/>
      <c r="L13" s="2374"/>
      <c r="M13" s="2374"/>
      <c r="N13" s="1509"/>
      <c r="O13" s="2374"/>
      <c r="P13" s="2389"/>
      <c r="Q13" s="1510"/>
      <c r="R13" s="2374"/>
      <c r="S13" s="2374"/>
      <c r="T13" s="1511"/>
      <c r="U13" s="2374"/>
      <c r="V13" s="2389"/>
      <c r="W13" s="1512"/>
      <c r="X13" s="2374"/>
      <c r="Y13" s="2374"/>
      <c r="Z13" s="1431"/>
      <c r="AA13" s="1514"/>
      <c r="AB13" s="2413"/>
      <c r="AC13" s="2413"/>
      <c r="AD13" s="2413"/>
      <c r="AE13" s="2413"/>
      <c r="AF13" s="2413"/>
      <c r="AG13" s="2413"/>
      <c r="AH13" s="2413"/>
      <c r="AI13" s="2414"/>
      <c r="AJ13" s="1493"/>
      <c r="BM13" s="230">
        <v>14</v>
      </c>
    </row>
    <row r="14" spans="1:65" ht="14.65" customHeight="1">
      <c r="D14" s="2419"/>
      <c r="E14" s="2415"/>
      <c r="F14" s="2415"/>
      <c r="G14" s="2422"/>
      <c r="H14" s="1519"/>
      <c r="I14" s="2418"/>
      <c r="J14" s="2389"/>
      <c r="K14" s="1529"/>
      <c r="L14" s="2374"/>
      <c r="M14" s="2374"/>
      <c r="N14" s="1509"/>
      <c r="O14" s="2374"/>
      <c r="P14" s="2389"/>
      <c r="Q14" s="1510"/>
      <c r="R14" s="2374"/>
      <c r="S14" s="2374"/>
      <c r="T14" s="1515"/>
      <c r="U14" s="1516"/>
      <c r="V14" s="2413"/>
      <c r="W14" s="2413"/>
      <c r="X14" s="2413"/>
      <c r="Y14" s="2413"/>
      <c r="Z14" s="2413"/>
      <c r="AA14" s="2413"/>
      <c r="AB14" s="2413"/>
      <c r="AC14" s="2413"/>
      <c r="AD14" s="2413"/>
      <c r="AE14" s="2413"/>
      <c r="AF14" s="2413"/>
      <c r="AG14" s="2413"/>
      <c r="AH14" s="2413"/>
      <c r="AI14" s="2414"/>
      <c r="AJ14" s="1493"/>
      <c r="BM14" s="230">
        <v>14</v>
      </c>
    </row>
    <row r="15" spans="1:65" ht="11.45" customHeight="1">
      <c r="D15" s="2419"/>
      <c r="E15" s="2415"/>
      <c r="F15" s="2415"/>
      <c r="G15" s="2422"/>
      <c r="H15" s="1520"/>
      <c r="I15" s="2418"/>
      <c r="J15" s="2389"/>
      <c r="K15" s="1529"/>
      <c r="L15" s="2374"/>
      <c r="M15" s="2374"/>
      <c r="N15" s="1514"/>
      <c r="O15" s="1514"/>
      <c r="P15" s="2413"/>
      <c r="Q15" s="2413"/>
      <c r="R15" s="2413"/>
      <c r="S15" s="2413"/>
      <c r="T15" s="2413"/>
      <c r="U15" s="2413"/>
      <c r="V15" s="2413"/>
      <c r="W15" s="2413"/>
      <c r="X15" s="2413"/>
      <c r="Y15" s="2413"/>
      <c r="Z15" s="2413"/>
      <c r="AA15" s="2413"/>
      <c r="AB15" s="2413"/>
      <c r="AC15" s="2413"/>
      <c r="AD15" s="2413"/>
      <c r="AE15" s="2413"/>
      <c r="AF15" s="2413"/>
      <c r="AG15" s="2413"/>
      <c r="AH15" s="2413"/>
      <c r="AI15" s="2414"/>
      <c r="AJ15" s="1493"/>
      <c r="BM15" s="230">
        <v>11</v>
      </c>
    </row>
    <row r="16" spans="1:65" s="2260" customFormat="1" ht="11.45" customHeight="1">
      <c r="D16" s="2425"/>
      <c r="E16" s="2426"/>
      <c r="F16" s="2416"/>
      <c r="G16" s="2349"/>
      <c r="H16" s="1517"/>
      <c r="I16" s="1521"/>
      <c r="J16" s="2423"/>
      <c r="K16" s="2423"/>
      <c r="L16" s="2423"/>
      <c r="M16" s="2423"/>
      <c r="N16" s="2423"/>
      <c r="O16" s="2423"/>
      <c r="P16" s="2423"/>
      <c r="Q16" s="2423"/>
      <c r="R16" s="2423"/>
      <c r="S16" s="2423"/>
      <c r="T16" s="2423"/>
      <c r="U16" s="2423"/>
      <c r="V16" s="2423"/>
      <c r="W16" s="2423"/>
      <c r="X16" s="2423"/>
      <c r="Y16" s="2423"/>
      <c r="Z16" s="2423"/>
      <c r="AA16" s="2423"/>
      <c r="AB16" s="2423"/>
      <c r="AC16" s="2423"/>
      <c r="AD16" s="2423"/>
      <c r="AE16" s="2423"/>
      <c r="AF16" s="2423"/>
      <c r="AG16" s="2423"/>
      <c r="AH16" s="2423"/>
      <c r="AI16" s="2424"/>
      <c r="AJ16" s="1493"/>
      <c r="AK16" s="243"/>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73">
        <v>11</v>
      </c>
    </row>
    <row r="17" spans="4:65" ht="15" customHeight="1">
      <c r="D17" s="2419" t="s">
        <v>109</v>
      </c>
      <c r="E17" s="2415" t="s">
        <v>291</v>
      </c>
      <c r="F17" s="2415" t="s">
        <v>293</v>
      </c>
      <c r="G17" s="2421" t="s">
        <v>19</v>
      </c>
      <c r="H17" s="1518"/>
      <c r="I17" s="2417"/>
      <c r="J17" s="2388"/>
      <c r="K17" s="1433"/>
      <c r="L17" s="2373"/>
      <c r="M17" s="2373"/>
      <c r="N17" s="1503"/>
      <c r="O17" s="2373"/>
      <c r="P17" s="2388"/>
      <c r="Q17" s="1504"/>
      <c r="R17" s="2373"/>
      <c r="S17" s="2373"/>
      <c r="T17" s="1505"/>
      <c r="U17" s="2373"/>
      <c r="V17" s="2388"/>
      <c r="W17" s="1506"/>
      <c r="X17" s="2373"/>
      <c r="Y17" s="2373"/>
      <c r="Z17" s="1503"/>
      <c r="AA17" s="2373"/>
      <c r="AB17" s="2388"/>
      <c r="AC17" s="1507"/>
      <c r="AD17" s="2373"/>
      <c r="AE17" s="2373"/>
      <c r="AF17" s="1432"/>
      <c r="AG17" s="1432"/>
      <c r="AH17" s="1508"/>
      <c r="AI17" s="1215"/>
      <c r="AJ17" s="1493"/>
      <c r="BM17" s="230">
        <v>14</v>
      </c>
    </row>
    <row r="18" spans="4:65" ht="14.65" customHeight="1">
      <c r="D18" s="2419"/>
      <c r="E18" s="2415"/>
      <c r="F18" s="2415"/>
      <c r="G18" s="2422"/>
      <c r="H18" s="1519"/>
      <c r="I18" s="2418"/>
      <c r="J18" s="2389"/>
      <c r="K18" s="1502"/>
      <c r="L18" s="2374"/>
      <c r="M18" s="2374"/>
      <c r="N18" s="1509"/>
      <c r="O18" s="2374"/>
      <c r="P18" s="2389"/>
      <c r="Q18" s="1510"/>
      <c r="R18" s="2374"/>
      <c r="S18" s="2374"/>
      <c r="T18" s="1511"/>
      <c r="U18" s="2374"/>
      <c r="V18" s="2389"/>
      <c r="W18" s="1512"/>
      <c r="X18" s="2374"/>
      <c r="Y18" s="2374"/>
      <c r="Z18" s="1509"/>
      <c r="AA18" s="2374"/>
      <c r="AB18" s="2389"/>
      <c r="AC18" s="1513"/>
      <c r="AD18" s="2374"/>
      <c r="AE18" s="2374"/>
      <c r="AF18" s="1514"/>
      <c r="AG18" s="1514"/>
      <c r="AH18" s="2413"/>
      <c r="AI18" s="2414"/>
      <c r="AJ18" s="1493"/>
      <c r="BM18" s="230">
        <v>14</v>
      </c>
    </row>
    <row r="19" spans="4:65" ht="14.65" customHeight="1">
      <c r="D19" s="2419"/>
      <c r="E19" s="2415"/>
      <c r="F19" s="2415"/>
      <c r="G19" s="2422"/>
      <c r="H19" s="1519"/>
      <c r="I19" s="2418"/>
      <c r="J19" s="2389"/>
      <c r="K19" s="1502"/>
      <c r="L19" s="2374"/>
      <c r="M19" s="2374"/>
      <c r="N19" s="1509"/>
      <c r="O19" s="2374"/>
      <c r="P19" s="2389"/>
      <c r="Q19" s="1510"/>
      <c r="R19" s="2374"/>
      <c r="S19" s="2374"/>
      <c r="T19" s="1511"/>
      <c r="U19" s="2374"/>
      <c r="V19" s="2389"/>
      <c r="W19" s="1512"/>
      <c r="X19" s="2374"/>
      <c r="Y19" s="2374"/>
      <c r="Z19" s="1431"/>
      <c r="AA19" s="1514"/>
      <c r="AB19" s="2413"/>
      <c r="AC19" s="2413"/>
      <c r="AD19" s="2413"/>
      <c r="AE19" s="2413"/>
      <c r="AF19" s="2413"/>
      <c r="AG19" s="2413"/>
      <c r="AH19" s="2413"/>
      <c r="AI19" s="2414"/>
      <c r="AJ19" s="1493"/>
      <c r="BM19" s="230">
        <v>14</v>
      </c>
    </row>
    <row r="20" spans="4:65" ht="14.65" customHeight="1">
      <c r="D20" s="2419"/>
      <c r="E20" s="2415"/>
      <c r="F20" s="2415"/>
      <c r="G20" s="2422"/>
      <c r="H20" s="1519"/>
      <c r="I20" s="2418"/>
      <c r="J20" s="2389"/>
      <c r="K20" s="1502"/>
      <c r="L20" s="2374"/>
      <c r="M20" s="2374"/>
      <c r="N20" s="1509"/>
      <c r="O20" s="2374"/>
      <c r="P20" s="2389"/>
      <c r="Q20" s="1510"/>
      <c r="R20" s="2374"/>
      <c r="S20" s="2374"/>
      <c r="T20" s="1515"/>
      <c r="U20" s="1516"/>
      <c r="V20" s="2413"/>
      <c r="W20" s="2413"/>
      <c r="X20" s="2413"/>
      <c r="Y20" s="2413"/>
      <c r="Z20" s="2413"/>
      <c r="AA20" s="2413"/>
      <c r="AB20" s="2413"/>
      <c r="AC20" s="2413"/>
      <c r="AD20" s="2413"/>
      <c r="AE20" s="2413"/>
      <c r="AF20" s="2413"/>
      <c r="AG20" s="2413"/>
      <c r="AH20" s="2413"/>
      <c r="AI20" s="2414"/>
      <c r="AJ20" s="1493"/>
      <c r="BM20" s="230">
        <v>14</v>
      </c>
    </row>
    <row r="21" spans="4:65" ht="11.45" customHeight="1">
      <c r="D21" s="2419"/>
      <c r="E21" s="2415"/>
      <c r="F21" s="2415"/>
      <c r="G21" s="2422"/>
      <c r="H21" s="1520"/>
      <c r="I21" s="2418"/>
      <c r="J21" s="2389"/>
      <c r="K21" s="1502"/>
      <c r="L21" s="2374"/>
      <c r="M21" s="2374"/>
      <c r="N21" s="1514"/>
      <c r="O21" s="1514"/>
      <c r="P21" s="2413"/>
      <c r="Q21" s="2413"/>
      <c r="R21" s="2413"/>
      <c r="S21" s="2413"/>
      <c r="T21" s="2413"/>
      <c r="U21" s="2413"/>
      <c r="V21" s="2413"/>
      <c r="W21" s="2413"/>
      <c r="X21" s="2413"/>
      <c r="Y21" s="2413"/>
      <c r="Z21" s="2413"/>
      <c r="AA21" s="2413"/>
      <c r="AB21" s="2413"/>
      <c r="AC21" s="2413"/>
      <c r="AD21" s="2413"/>
      <c r="AE21" s="2413"/>
      <c r="AF21" s="2413"/>
      <c r="AG21" s="2413"/>
      <c r="AH21" s="2413"/>
      <c r="AI21" s="2414"/>
      <c r="AJ21" s="1493"/>
      <c r="BM21" s="230">
        <v>11</v>
      </c>
    </row>
    <row r="22" spans="4:65" s="2260" customFormat="1" ht="11.45" customHeight="1">
      <c r="D22" s="2425"/>
      <c r="E22" s="2426"/>
      <c r="F22" s="2416"/>
      <c r="G22" s="2349"/>
      <c r="H22" s="1517"/>
      <c r="I22" s="1521"/>
      <c r="J22" s="2423"/>
      <c r="K22" s="2423"/>
      <c r="L22" s="2423"/>
      <c r="M22" s="2423"/>
      <c r="N22" s="2423"/>
      <c r="O22" s="2423"/>
      <c r="P22" s="2423"/>
      <c r="Q22" s="2423"/>
      <c r="R22" s="2423"/>
      <c r="S22" s="2423"/>
      <c r="T22" s="2423"/>
      <c r="U22" s="2423"/>
      <c r="V22" s="2423"/>
      <c r="W22" s="2423"/>
      <c r="X22" s="2423"/>
      <c r="Y22" s="2423"/>
      <c r="Z22" s="2423"/>
      <c r="AA22" s="2423"/>
      <c r="AB22" s="2423"/>
      <c r="AC22" s="2423"/>
      <c r="AD22" s="2423"/>
      <c r="AE22" s="2423"/>
      <c r="AF22" s="2423"/>
      <c r="AG22" s="2423"/>
      <c r="AH22" s="2423"/>
      <c r="AI22" s="2424"/>
      <c r="AJ22" s="1493"/>
      <c r="AK22" s="243"/>
      <c r="AL22" s="1493"/>
      <c r="AM22" s="1493"/>
      <c r="AN22" s="1493"/>
      <c r="AO22" s="1493"/>
      <c r="AP22" s="1493"/>
      <c r="AQ22" s="1493"/>
      <c r="AR22" s="1493"/>
      <c r="AS22" s="1493"/>
      <c r="AT22" s="1493"/>
      <c r="AU22" s="1493"/>
      <c r="AV22" s="1493"/>
      <c r="AW22" s="1493"/>
      <c r="AX22" s="1493"/>
      <c r="AY22" s="1493"/>
      <c r="AZ22" s="1493"/>
      <c r="BA22" s="1493"/>
      <c r="BB22" s="1493"/>
      <c r="BC22" s="1493"/>
      <c r="BD22" s="1493"/>
      <c r="BE22" s="1493"/>
      <c r="BF22" s="1493"/>
      <c r="BG22" s="1493"/>
      <c r="BH22" s="1493"/>
      <c r="BI22" s="1493"/>
      <c r="BJ22" s="1493"/>
      <c r="BK22" s="1493"/>
      <c r="BL22" s="1493"/>
      <c r="BM22" s="1473">
        <v>11</v>
      </c>
    </row>
    <row r="23" spans="4:65" ht="15" customHeight="1">
      <c r="D23" s="2419" t="s">
        <v>89</v>
      </c>
      <c r="E23" s="2415" t="s">
        <v>291</v>
      </c>
      <c r="F23" s="2415" t="s">
        <v>294</v>
      </c>
      <c r="G23" s="2421" t="s">
        <v>19</v>
      </c>
      <c r="H23" s="1518"/>
      <c r="I23" s="2417"/>
      <c r="J23" s="2388"/>
      <c r="K23" s="1433"/>
      <c r="L23" s="2373"/>
      <c r="M23" s="2373"/>
      <c r="N23" s="1503"/>
      <c r="O23" s="2373"/>
      <c r="P23" s="2388"/>
      <c r="Q23" s="1504"/>
      <c r="R23" s="2373"/>
      <c r="S23" s="2373"/>
      <c r="T23" s="1505"/>
      <c r="U23" s="2373"/>
      <c r="V23" s="2388"/>
      <c r="W23" s="1506"/>
      <c r="X23" s="2373"/>
      <c r="Y23" s="2373"/>
      <c r="Z23" s="1503"/>
      <c r="AA23" s="2373"/>
      <c r="AB23" s="2388"/>
      <c r="AC23" s="1507"/>
      <c r="AD23" s="2373"/>
      <c r="AE23" s="2373"/>
      <c r="AF23" s="1432"/>
      <c r="AG23" s="1432"/>
      <c r="AH23" s="1508"/>
      <c r="AI23" s="1215"/>
      <c r="AJ23" s="1493"/>
      <c r="AK23" s="243" t="s">
        <v>97</v>
      </c>
      <c r="BM23" s="230">
        <v>14</v>
      </c>
    </row>
    <row r="24" spans="4:65" ht="14.65" customHeight="1">
      <c r="D24" s="2419"/>
      <c r="E24" s="2415"/>
      <c r="F24" s="2415"/>
      <c r="G24" s="2422"/>
      <c r="H24" s="1519"/>
      <c r="I24" s="2418"/>
      <c r="J24" s="2389"/>
      <c r="K24" s="1529"/>
      <c r="L24" s="2374"/>
      <c r="M24" s="2374"/>
      <c r="N24" s="1509"/>
      <c r="O24" s="2374"/>
      <c r="P24" s="2389"/>
      <c r="Q24" s="1510"/>
      <c r="R24" s="2374"/>
      <c r="S24" s="2374"/>
      <c r="T24" s="1511"/>
      <c r="U24" s="2374"/>
      <c r="V24" s="2389"/>
      <c r="W24" s="1512"/>
      <c r="X24" s="2374"/>
      <c r="Y24" s="2374"/>
      <c r="Z24" s="1509"/>
      <c r="AA24" s="2374"/>
      <c r="AB24" s="2389"/>
      <c r="AC24" s="1513"/>
      <c r="AD24" s="2374"/>
      <c r="AE24" s="2374"/>
      <c r="AF24" s="1514"/>
      <c r="AG24" s="1514"/>
      <c r="AH24" s="2413"/>
      <c r="AI24" s="2414"/>
      <c r="AJ24" s="1493"/>
      <c r="BM24" s="230">
        <v>14</v>
      </c>
    </row>
    <row r="25" spans="4:65" ht="14.65" customHeight="1">
      <c r="D25" s="2419"/>
      <c r="E25" s="2415"/>
      <c r="F25" s="2415"/>
      <c r="G25" s="2422"/>
      <c r="H25" s="1519"/>
      <c r="I25" s="2418"/>
      <c r="J25" s="2389"/>
      <c r="K25" s="1529"/>
      <c r="L25" s="2374"/>
      <c r="M25" s="2374"/>
      <c r="N25" s="1509"/>
      <c r="O25" s="2374"/>
      <c r="P25" s="2389"/>
      <c r="Q25" s="1510"/>
      <c r="R25" s="2374"/>
      <c r="S25" s="2374"/>
      <c r="T25" s="1511"/>
      <c r="U25" s="2374"/>
      <c r="V25" s="2389"/>
      <c r="W25" s="1512"/>
      <c r="X25" s="2374"/>
      <c r="Y25" s="2374"/>
      <c r="Z25" s="1431"/>
      <c r="AA25" s="1514"/>
      <c r="AB25" s="2413"/>
      <c r="AC25" s="2413"/>
      <c r="AD25" s="2413"/>
      <c r="AE25" s="2413"/>
      <c r="AF25" s="2413"/>
      <c r="AG25" s="2413"/>
      <c r="AH25" s="2413"/>
      <c r="AI25" s="2414"/>
      <c r="AJ25" s="1493"/>
      <c r="BM25" s="230">
        <v>14</v>
      </c>
    </row>
    <row r="26" spans="4:65" ht="14.65" customHeight="1">
      <c r="D26" s="2419"/>
      <c r="E26" s="2415"/>
      <c r="F26" s="2415"/>
      <c r="G26" s="2422"/>
      <c r="H26" s="1519"/>
      <c r="I26" s="2418"/>
      <c r="J26" s="2389"/>
      <c r="K26" s="1529"/>
      <c r="L26" s="2374"/>
      <c r="M26" s="2374"/>
      <c r="N26" s="1509"/>
      <c r="O26" s="2374"/>
      <c r="P26" s="2389"/>
      <c r="Q26" s="1510"/>
      <c r="R26" s="2374"/>
      <c r="S26" s="2374"/>
      <c r="T26" s="1515"/>
      <c r="U26" s="1516"/>
      <c r="V26" s="2413"/>
      <c r="W26" s="2413"/>
      <c r="X26" s="2413"/>
      <c r="Y26" s="2413"/>
      <c r="Z26" s="2413"/>
      <c r="AA26" s="2413"/>
      <c r="AB26" s="2413"/>
      <c r="AC26" s="2413"/>
      <c r="AD26" s="2413"/>
      <c r="AE26" s="2413"/>
      <c r="AF26" s="2413"/>
      <c r="AG26" s="2413"/>
      <c r="AH26" s="2413"/>
      <c r="AI26" s="2414"/>
      <c r="AJ26" s="1493"/>
      <c r="BM26" s="230">
        <v>14</v>
      </c>
    </row>
    <row r="27" spans="4:65" ht="11.45" customHeight="1">
      <c r="D27" s="2419"/>
      <c r="E27" s="2415"/>
      <c r="F27" s="2415"/>
      <c r="G27" s="2422"/>
      <c r="H27" s="1520"/>
      <c r="I27" s="2418"/>
      <c r="J27" s="2389"/>
      <c r="K27" s="1529"/>
      <c r="L27" s="2374"/>
      <c r="M27" s="2374"/>
      <c r="N27" s="1514"/>
      <c r="O27" s="1514"/>
      <c r="P27" s="2413"/>
      <c r="Q27" s="2413"/>
      <c r="R27" s="2413"/>
      <c r="S27" s="2413"/>
      <c r="T27" s="2413"/>
      <c r="U27" s="2413"/>
      <c r="V27" s="2413"/>
      <c r="W27" s="2413"/>
      <c r="X27" s="2413"/>
      <c r="Y27" s="2413"/>
      <c r="Z27" s="2413"/>
      <c r="AA27" s="2413"/>
      <c r="AB27" s="2413"/>
      <c r="AC27" s="2413"/>
      <c r="AD27" s="2413"/>
      <c r="AE27" s="2413"/>
      <c r="AF27" s="2413"/>
      <c r="AG27" s="2413"/>
      <c r="AH27" s="2413"/>
      <c r="AI27" s="2414"/>
      <c r="AJ27" s="1493"/>
      <c r="BM27" s="230">
        <v>11</v>
      </c>
    </row>
    <row r="28" spans="4:65" s="2260" customFormat="1" ht="11.45" customHeight="1">
      <c r="D28" s="2425"/>
      <c r="E28" s="2426"/>
      <c r="F28" s="2416"/>
      <c r="G28" s="2349"/>
      <c r="H28" s="1517"/>
      <c r="I28" s="1521"/>
      <c r="J28" s="2423"/>
      <c r="K28" s="2423"/>
      <c r="L28" s="2423"/>
      <c r="M28" s="2423"/>
      <c r="N28" s="2423"/>
      <c r="O28" s="2423"/>
      <c r="P28" s="2423"/>
      <c r="Q28" s="2423"/>
      <c r="R28" s="2423"/>
      <c r="S28" s="2423"/>
      <c r="T28" s="2423"/>
      <c r="U28" s="2423"/>
      <c r="V28" s="2423"/>
      <c r="W28" s="2423"/>
      <c r="X28" s="2423"/>
      <c r="Y28" s="2423"/>
      <c r="Z28" s="2423"/>
      <c r="AA28" s="2423"/>
      <c r="AB28" s="2423"/>
      <c r="AC28" s="2423"/>
      <c r="AD28" s="2423"/>
      <c r="AE28" s="2423"/>
      <c r="AF28" s="2423"/>
      <c r="AG28" s="2423"/>
      <c r="AH28" s="2423"/>
      <c r="AI28" s="2424"/>
      <c r="AJ28" s="1493"/>
      <c r="AK28" s="243"/>
      <c r="AL28" s="1493"/>
      <c r="AM28" s="1493"/>
      <c r="AN28" s="1493"/>
      <c r="AO28" s="1493"/>
      <c r="AP28" s="1493"/>
      <c r="AQ28" s="1493"/>
      <c r="AR28" s="1493"/>
      <c r="AS28" s="1493"/>
      <c r="AT28" s="1493"/>
      <c r="AU28" s="1493"/>
      <c r="AV28" s="1493"/>
      <c r="AW28" s="1493"/>
      <c r="AX28" s="1493"/>
      <c r="AY28" s="1493"/>
      <c r="AZ28" s="1493"/>
      <c r="BA28" s="1493"/>
      <c r="BB28" s="1493"/>
      <c r="BC28" s="1493"/>
      <c r="BD28" s="1493"/>
      <c r="BE28" s="1493"/>
      <c r="BF28" s="1493"/>
      <c r="BG28" s="1493"/>
      <c r="BH28" s="1493"/>
      <c r="BI28" s="1493"/>
      <c r="BJ28" s="1493"/>
      <c r="BK28" s="1493"/>
      <c r="BL28" s="1493"/>
      <c r="BM28" s="1473">
        <v>11</v>
      </c>
    </row>
    <row r="29" spans="4:65" ht="15" customHeight="1">
      <c r="D29" s="2419" t="s">
        <v>90</v>
      </c>
      <c r="E29" s="2415" t="s">
        <v>291</v>
      </c>
      <c r="F29" s="2415" t="s">
        <v>295</v>
      </c>
      <c r="G29" s="2421" t="s">
        <v>19</v>
      </c>
      <c r="H29" s="1518"/>
      <c r="I29" s="2417"/>
      <c r="J29" s="2388"/>
      <c r="K29" s="1433"/>
      <c r="L29" s="2373"/>
      <c r="M29" s="2373"/>
      <c r="N29" s="1503"/>
      <c r="O29" s="2373"/>
      <c r="P29" s="2388"/>
      <c r="Q29" s="1504"/>
      <c r="R29" s="2373"/>
      <c r="S29" s="2373"/>
      <c r="T29" s="1505"/>
      <c r="U29" s="2373"/>
      <c r="V29" s="2388"/>
      <c r="W29" s="1506"/>
      <c r="X29" s="2373"/>
      <c r="Y29" s="2373"/>
      <c r="Z29" s="1503"/>
      <c r="AA29" s="2373"/>
      <c r="AB29" s="2388"/>
      <c r="AC29" s="1507"/>
      <c r="AD29" s="2373"/>
      <c r="AE29" s="2373"/>
      <c r="AF29" s="1432"/>
      <c r="AG29" s="1432"/>
      <c r="AH29" s="1508"/>
      <c r="AI29" s="1215"/>
      <c r="AJ29" s="1493"/>
      <c r="BM29" s="230">
        <v>14</v>
      </c>
    </row>
    <row r="30" spans="4:65" ht="14.65" customHeight="1">
      <c r="D30" s="2419"/>
      <c r="E30" s="2415"/>
      <c r="F30" s="2415"/>
      <c r="G30" s="2422"/>
      <c r="H30" s="1519"/>
      <c r="I30" s="2418"/>
      <c r="J30" s="2389"/>
      <c r="K30" s="1502"/>
      <c r="L30" s="2374"/>
      <c r="M30" s="2374"/>
      <c r="N30" s="1509"/>
      <c r="O30" s="2374"/>
      <c r="P30" s="2389"/>
      <c r="Q30" s="1510"/>
      <c r="R30" s="2374"/>
      <c r="S30" s="2374"/>
      <c r="T30" s="1511"/>
      <c r="U30" s="2374"/>
      <c r="V30" s="2389"/>
      <c r="W30" s="1512"/>
      <c r="X30" s="2374"/>
      <c r="Y30" s="2374"/>
      <c r="Z30" s="1509"/>
      <c r="AA30" s="2374"/>
      <c r="AB30" s="2389"/>
      <c r="AC30" s="1513"/>
      <c r="AD30" s="2374"/>
      <c r="AE30" s="2374"/>
      <c r="AF30" s="1514"/>
      <c r="AG30" s="1514"/>
      <c r="AH30" s="2413"/>
      <c r="AI30" s="2414"/>
      <c r="AJ30" s="1493"/>
      <c r="BM30" s="230">
        <v>14</v>
      </c>
    </row>
    <row r="31" spans="4:65" ht="14.65" customHeight="1">
      <c r="D31" s="2419"/>
      <c r="E31" s="2415"/>
      <c r="F31" s="2415"/>
      <c r="G31" s="2422"/>
      <c r="H31" s="1519"/>
      <c r="I31" s="2418"/>
      <c r="J31" s="2389"/>
      <c r="K31" s="1502"/>
      <c r="L31" s="2374"/>
      <c r="M31" s="2374"/>
      <c r="N31" s="1509"/>
      <c r="O31" s="2374"/>
      <c r="P31" s="2389"/>
      <c r="Q31" s="1510"/>
      <c r="R31" s="2374"/>
      <c r="S31" s="2374"/>
      <c r="T31" s="1511"/>
      <c r="U31" s="2374"/>
      <c r="V31" s="2389"/>
      <c r="W31" s="1512"/>
      <c r="X31" s="2374"/>
      <c r="Y31" s="2374"/>
      <c r="Z31" s="1431"/>
      <c r="AA31" s="1514"/>
      <c r="AB31" s="2413"/>
      <c r="AC31" s="2413"/>
      <c r="AD31" s="2413"/>
      <c r="AE31" s="2413"/>
      <c r="AF31" s="2413"/>
      <c r="AG31" s="2413"/>
      <c r="AH31" s="2413"/>
      <c r="AI31" s="2414"/>
      <c r="AJ31" s="1493"/>
      <c r="BM31" s="230">
        <v>14</v>
      </c>
    </row>
    <row r="32" spans="4:65" ht="14.65" customHeight="1">
      <c r="D32" s="2419"/>
      <c r="E32" s="2415"/>
      <c r="F32" s="2415"/>
      <c r="G32" s="2422"/>
      <c r="H32" s="1519"/>
      <c r="I32" s="2418"/>
      <c r="J32" s="2389"/>
      <c r="K32" s="1502"/>
      <c r="L32" s="2374"/>
      <c r="M32" s="2374"/>
      <c r="N32" s="1509"/>
      <c r="O32" s="2374"/>
      <c r="P32" s="2389"/>
      <c r="Q32" s="1510"/>
      <c r="R32" s="2374"/>
      <c r="S32" s="2374"/>
      <c r="T32" s="1515"/>
      <c r="U32" s="1516"/>
      <c r="V32" s="2413"/>
      <c r="W32" s="2413"/>
      <c r="X32" s="2413"/>
      <c r="Y32" s="2413"/>
      <c r="Z32" s="2413"/>
      <c r="AA32" s="2413"/>
      <c r="AB32" s="2413"/>
      <c r="AC32" s="2413"/>
      <c r="AD32" s="2413"/>
      <c r="AE32" s="2413"/>
      <c r="AF32" s="2413"/>
      <c r="AG32" s="2413"/>
      <c r="AH32" s="2413"/>
      <c r="AI32" s="2414"/>
      <c r="AJ32" s="1493"/>
      <c r="BM32" s="230">
        <v>14</v>
      </c>
    </row>
    <row r="33" spans="4:65" ht="11.45" customHeight="1">
      <c r="D33" s="2419"/>
      <c r="E33" s="2415"/>
      <c r="F33" s="2415"/>
      <c r="G33" s="2422"/>
      <c r="H33" s="1520"/>
      <c r="I33" s="2418"/>
      <c r="J33" s="2389"/>
      <c r="K33" s="1502"/>
      <c r="L33" s="2374"/>
      <c r="M33" s="2374"/>
      <c r="N33" s="1514"/>
      <c r="O33" s="1514"/>
      <c r="P33" s="2413"/>
      <c r="Q33" s="2413"/>
      <c r="R33" s="2413"/>
      <c r="S33" s="2413"/>
      <c r="T33" s="2413"/>
      <c r="U33" s="2413"/>
      <c r="V33" s="2413"/>
      <c r="W33" s="2413"/>
      <c r="X33" s="2413"/>
      <c r="Y33" s="2413"/>
      <c r="Z33" s="2413"/>
      <c r="AA33" s="2413"/>
      <c r="AB33" s="2413"/>
      <c r="AC33" s="2413"/>
      <c r="AD33" s="2413"/>
      <c r="AE33" s="2413"/>
      <c r="AF33" s="2413"/>
      <c r="AG33" s="2413"/>
      <c r="AH33" s="2413"/>
      <c r="AI33" s="2414"/>
      <c r="AJ33" s="1493"/>
      <c r="BM33" s="230">
        <v>11</v>
      </c>
    </row>
    <row r="34" spans="4:65" s="2260" customFormat="1" ht="11.45" customHeight="1">
      <c r="D34" s="2425"/>
      <c r="E34" s="2426"/>
      <c r="F34" s="2416"/>
      <c r="G34" s="2349"/>
      <c r="H34" s="1517"/>
      <c r="I34" s="1521"/>
      <c r="J34" s="2423"/>
      <c r="K34" s="2423"/>
      <c r="L34" s="2423"/>
      <c r="M34" s="2423"/>
      <c r="N34" s="2423"/>
      <c r="O34" s="2423"/>
      <c r="P34" s="2423"/>
      <c r="Q34" s="2423"/>
      <c r="R34" s="2423"/>
      <c r="S34" s="2423"/>
      <c r="T34" s="2423"/>
      <c r="U34" s="2423"/>
      <c r="V34" s="2423"/>
      <c r="W34" s="2423"/>
      <c r="X34" s="2423"/>
      <c r="Y34" s="2423"/>
      <c r="Z34" s="2423"/>
      <c r="AA34" s="2423"/>
      <c r="AB34" s="2423"/>
      <c r="AC34" s="2423"/>
      <c r="AD34" s="2423"/>
      <c r="AE34" s="2423"/>
      <c r="AF34" s="2423"/>
      <c r="AG34" s="2423"/>
      <c r="AH34" s="2423"/>
      <c r="AI34" s="2424"/>
      <c r="AJ34" s="1493"/>
      <c r="AK34" s="243"/>
      <c r="AL34" s="1493"/>
      <c r="AM34" s="1493"/>
      <c r="AN34" s="1493"/>
      <c r="AO34" s="1493"/>
      <c r="AP34" s="1493"/>
      <c r="AQ34" s="1493"/>
      <c r="AR34" s="1493"/>
      <c r="AS34" s="1493"/>
      <c r="AT34" s="1493"/>
      <c r="AU34" s="1493"/>
      <c r="AV34" s="1493"/>
      <c r="AW34" s="1493"/>
      <c r="AX34" s="1493"/>
      <c r="AY34" s="1493"/>
      <c r="AZ34" s="1493"/>
      <c r="BA34" s="1493"/>
      <c r="BB34" s="1493"/>
      <c r="BC34" s="1493"/>
      <c r="BD34" s="1493"/>
      <c r="BE34" s="1493"/>
      <c r="BF34" s="1493"/>
      <c r="BG34" s="1493"/>
      <c r="BH34" s="1493"/>
      <c r="BI34" s="1493"/>
      <c r="BJ34" s="1493"/>
      <c r="BK34" s="1493"/>
      <c r="BL34" s="1493"/>
      <c r="BM34" s="1473">
        <v>11</v>
      </c>
    </row>
    <row r="35" spans="4:65" ht="15" customHeight="1">
      <c r="D35" s="2419" t="s">
        <v>110</v>
      </c>
      <c r="E35" s="2415" t="s">
        <v>291</v>
      </c>
      <c r="F35" s="2415" t="s">
        <v>296</v>
      </c>
      <c r="G35" s="2421" t="s">
        <v>19</v>
      </c>
      <c r="H35" s="1518"/>
      <c r="I35" s="2417"/>
      <c r="J35" s="2388"/>
      <c r="K35" s="1433"/>
      <c r="L35" s="2373"/>
      <c r="M35" s="2373"/>
      <c r="N35" s="1503"/>
      <c r="O35" s="2373"/>
      <c r="P35" s="2388"/>
      <c r="Q35" s="1504"/>
      <c r="R35" s="2373"/>
      <c r="S35" s="2373"/>
      <c r="T35" s="1505"/>
      <c r="U35" s="2373"/>
      <c r="V35" s="2388"/>
      <c r="W35" s="1506"/>
      <c r="X35" s="2373"/>
      <c r="Y35" s="2373"/>
      <c r="Z35" s="1503"/>
      <c r="AA35" s="2373"/>
      <c r="AB35" s="2388"/>
      <c r="AC35" s="1507"/>
      <c r="AD35" s="2373"/>
      <c r="AE35" s="2373"/>
      <c r="AF35" s="1432"/>
      <c r="AG35" s="1432"/>
      <c r="AH35" s="1508"/>
      <c r="AI35" s="1215"/>
      <c r="AJ35" s="1493"/>
      <c r="BM35" s="230">
        <v>14</v>
      </c>
    </row>
    <row r="36" spans="4:65" ht="14.65" customHeight="1">
      <c r="D36" s="2419"/>
      <c r="E36" s="2415"/>
      <c r="F36" s="2415"/>
      <c r="G36" s="2422"/>
      <c r="H36" s="1519"/>
      <c r="I36" s="2418"/>
      <c r="J36" s="2389"/>
      <c r="K36" s="1502"/>
      <c r="L36" s="2374"/>
      <c r="M36" s="2374"/>
      <c r="N36" s="1509"/>
      <c r="O36" s="2374"/>
      <c r="P36" s="2389"/>
      <c r="Q36" s="1510"/>
      <c r="R36" s="2374"/>
      <c r="S36" s="2374"/>
      <c r="T36" s="1511"/>
      <c r="U36" s="2374"/>
      <c r="V36" s="2389"/>
      <c r="W36" s="1512"/>
      <c r="X36" s="2374"/>
      <c r="Y36" s="2374"/>
      <c r="Z36" s="1509"/>
      <c r="AA36" s="2374"/>
      <c r="AB36" s="2389"/>
      <c r="AC36" s="1513"/>
      <c r="AD36" s="2374"/>
      <c r="AE36" s="2374"/>
      <c r="AF36" s="1514"/>
      <c r="AG36" s="1514"/>
      <c r="AH36" s="2413"/>
      <c r="AI36" s="2414"/>
      <c r="AJ36" s="1493"/>
      <c r="BM36" s="230">
        <v>14</v>
      </c>
    </row>
    <row r="37" spans="4:65" ht="14.65" customHeight="1">
      <c r="D37" s="2419"/>
      <c r="E37" s="2415"/>
      <c r="F37" s="2415"/>
      <c r="G37" s="2422"/>
      <c r="H37" s="1519"/>
      <c r="I37" s="2418"/>
      <c r="J37" s="2389"/>
      <c r="K37" s="1502"/>
      <c r="L37" s="2374"/>
      <c r="M37" s="2374"/>
      <c r="N37" s="1509"/>
      <c r="O37" s="2374"/>
      <c r="P37" s="2389"/>
      <c r="Q37" s="1510"/>
      <c r="R37" s="2374"/>
      <c r="S37" s="2374"/>
      <c r="T37" s="1511"/>
      <c r="U37" s="2374"/>
      <c r="V37" s="2389"/>
      <c r="W37" s="1512"/>
      <c r="X37" s="2374"/>
      <c r="Y37" s="2374"/>
      <c r="Z37" s="1431"/>
      <c r="AA37" s="1514"/>
      <c r="AB37" s="2413"/>
      <c r="AC37" s="2413"/>
      <c r="AD37" s="2413"/>
      <c r="AE37" s="2413"/>
      <c r="AF37" s="2413"/>
      <c r="AG37" s="2413"/>
      <c r="AH37" s="2413"/>
      <c r="AI37" s="2414"/>
      <c r="AJ37" s="1493"/>
      <c r="BM37" s="230">
        <v>14</v>
      </c>
    </row>
    <row r="38" spans="4:65" ht="14.65" customHeight="1">
      <c r="D38" s="2419"/>
      <c r="E38" s="2415"/>
      <c r="F38" s="2415"/>
      <c r="G38" s="2422"/>
      <c r="H38" s="1519"/>
      <c r="I38" s="2418"/>
      <c r="J38" s="2389"/>
      <c r="K38" s="1502"/>
      <c r="L38" s="2374"/>
      <c r="M38" s="2374"/>
      <c r="N38" s="1509"/>
      <c r="O38" s="2374"/>
      <c r="P38" s="2389"/>
      <c r="Q38" s="1510"/>
      <c r="R38" s="2374"/>
      <c r="S38" s="2374"/>
      <c r="T38" s="1515"/>
      <c r="U38" s="1516"/>
      <c r="V38" s="2413"/>
      <c r="W38" s="2413"/>
      <c r="X38" s="2413"/>
      <c r="Y38" s="2413"/>
      <c r="Z38" s="2413"/>
      <c r="AA38" s="2413"/>
      <c r="AB38" s="2413"/>
      <c r="AC38" s="2413"/>
      <c r="AD38" s="2413"/>
      <c r="AE38" s="2413"/>
      <c r="AF38" s="2413"/>
      <c r="AG38" s="2413"/>
      <c r="AH38" s="2413"/>
      <c r="AI38" s="2414"/>
      <c r="AJ38" s="1493"/>
      <c r="BM38" s="230">
        <v>14</v>
      </c>
    </row>
    <row r="39" spans="4:65" ht="11.45" customHeight="1">
      <c r="D39" s="2419"/>
      <c r="E39" s="2415"/>
      <c r="F39" s="2415"/>
      <c r="G39" s="2422"/>
      <c r="H39" s="1520"/>
      <c r="I39" s="2418"/>
      <c r="J39" s="2389"/>
      <c r="K39" s="1502"/>
      <c r="L39" s="2374"/>
      <c r="M39" s="2374"/>
      <c r="N39" s="1514"/>
      <c r="O39" s="1514"/>
      <c r="P39" s="2413"/>
      <c r="Q39" s="2413"/>
      <c r="R39" s="2413"/>
      <c r="S39" s="2413"/>
      <c r="T39" s="2413"/>
      <c r="U39" s="2413"/>
      <c r="V39" s="2413"/>
      <c r="W39" s="2413"/>
      <c r="X39" s="2413"/>
      <c r="Y39" s="2413"/>
      <c r="Z39" s="2413"/>
      <c r="AA39" s="2413"/>
      <c r="AB39" s="2413"/>
      <c r="AC39" s="2413"/>
      <c r="AD39" s="2413"/>
      <c r="AE39" s="2413"/>
      <c r="AF39" s="2413"/>
      <c r="AG39" s="2413"/>
      <c r="AH39" s="2413"/>
      <c r="AI39" s="2414"/>
      <c r="AJ39" s="1493"/>
      <c r="BM39" s="230">
        <v>11</v>
      </c>
    </row>
    <row r="40" spans="4:65" s="2260" customFormat="1" ht="11.45" customHeight="1">
      <c r="D40" s="2419"/>
      <c r="E40" s="2415"/>
      <c r="F40" s="2420"/>
      <c r="G40" s="2349"/>
      <c r="H40" s="1517"/>
      <c r="I40" s="1521"/>
      <c r="J40" s="2423"/>
      <c r="K40" s="2423"/>
      <c r="L40" s="2423"/>
      <c r="M40" s="2423"/>
      <c r="N40" s="2423"/>
      <c r="O40" s="2423"/>
      <c r="P40" s="2423"/>
      <c r="Q40" s="2423"/>
      <c r="R40" s="2423"/>
      <c r="S40" s="2423"/>
      <c r="T40" s="2423"/>
      <c r="U40" s="2423"/>
      <c r="V40" s="2423"/>
      <c r="W40" s="2423"/>
      <c r="X40" s="2423"/>
      <c r="Y40" s="2423"/>
      <c r="Z40" s="2423"/>
      <c r="AA40" s="2423"/>
      <c r="AB40" s="2423"/>
      <c r="AC40" s="2423"/>
      <c r="AD40" s="2423"/>
      <c r="AE40" s="2423"/>
      <c r="AF40" s="2423"/>
      <c r="AG40" s="2423"/>
      <c r="AH40" s="2423"/>
      <c r="AI40" s="2424"/>
      <c r="AJ40" s="1493"/>
      <c r="AK40" s="243"/>
      <c r="AL40" s="1493"/>
      <c r="AM40" s="1493"/>
      <c r="AN40" s="1493"/>
      <c r="AO40" s="1493"/>
      <c r="AP40" s="1493"/>
      <c r="AQ40" s="1493"/>
      <c r="AR40" s="1493"/>
      <c r="AS40" s="1493"/>
      <c r="AT40" s="1493"/>
      <c r="AU40" s="1493"/>
      <c r="AV40" s="1493"/>
      <c r="AW40" s="1493"/>
      <c r="AX40" s="1493"/>
      <c r="AY40" s="1493"/>
      <c r="AZ40" s="1493"/>
      <c r="BA40" s="1493"/>
      <c r="BB40" s="1493"/>
      <c r="BC40" s="1493"/>
      <c r="BD40" s="1493"/>
      <c r="BE40" s="1493"/>
      <c r="BF40" s="1493"/>
      <c r="BG40" s="1493"/>
      <c r="BH40" s="1493"/>
      <c r="BI40" s="1493"/>
      <c r="BJ40" s="1493"/>
      <c r="BK40" s="1493"/>
      <c r="BL40" s="1493"/>
      <c r="BM40" s="1473">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248" customWidth="1"/>
    <col min="2" max="2" width="34.5703125" style="2248" customWidth="1"/>
    <col min="3" max="3" width="85" style="2248" customWidth="1"/>
    <col min="4" max="4" width="17" style="2248" customWidth="1"/>
    <col min="5" max="5" width="8" style="2248" customWidth="1"/>
    <col min="6" max="6" width="9.140625" style="2248" hidden="1"/>
  </cols>
  <sheetData>
    <row r="1" spans="1:6" ht="3" customHeight="1">
      <c r="F1" s="29" t="s">
        <v>14</v>
      </c>
    </row>
    <row r="2" spans="1:6" ht="22.5" customHeight="1">
      <c r="B2" s="2718" t="s">
        <v>1928</v>
      </c>
      <c r="C2" s="2718"/>
      <c r="D2" s="2718"/>
      <c r="E2" s="205"/>
      <c r="F2" s="29">
        <v>22</v>
      </c>
    </row>
    <row r="3" spans="1:6" ht="3" customHeight="1">
      <c r="F3" s="29">
        <v>3</v>
      </c>
    </row>
    <row r="4" spans="1:6" ht="23.25" customHeight="1">
      <c r="B4" s="1990" t="s">
        <v>1929</v>
      </c>
      <c r="C4" s="320" t="s">
        <v>1930</v>
      </c>
      <c r="D4" s="320" t="s">
        <v>1931</v>
      </c>
      <c r="F4" s="29">
        <v>22</v>
      </c>
    </row>
    <row r="5" spans="1:6" ht="11.25" hidden="1" customHeight="1">
      <c r="A5" s="29" t="s">
        <v>81</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248" customWidth="1"/>
    <col min="2" max="2" width="10" style="2248" customWidth="1"/>
    <col min="3" max="3" width="9.140625" style="2248"/>
    <col min="4" max="4" width="11.140625" style="2248" customWidth="1"/>
    <col min="5" max="5" width="16.5703125" style="2248" customWidth="1"/>
    <col min="6" max="6" width="16.28515625" style="2248" customWidth="1"/>
    <col min="7" max="7" width="19.140625" style="2248" customWidth="1"/>
    <col min="8" max="11" width="10" style="2248" customWidth="1"/>
    <col min="12" max="12" width="12.7109375" style="2248" customWidth="1"/>
    <col min="13" max="13" width="61.28515625" style="2248" customWidth="1"/>
    <col min="14" max="14" width="10" style="2248" customWidth="1"/>
    <col min="15" max="17" width="23.7109375" style="2248" customWidth="1"/>
    <col min="18" max="18" width="11.7109375" style="2248" customWidth="1"/>
    <col min="19" max="19" width="8.5703125" style="2248" customWidth="1"/>
    <col min="20" max="20" width="11.7109375" style="2248" customWidth="1"/>
    <col min="21" max="21" width="8.5703125" style="2248" customWidth="1"/>
    <col min="22" max="22" width="4.7109375" style="2248" customWidth="1"/>
    <col min="23" max="23" width="115.7109375" style="2248" customWidth="1"/>
    <col min="24" max="24" width="115.28515625" style="2248" customWidth="1"/>
    <col min="25" max="27" width="9.140625" style="2248"/>
    <col min="28" max="28" width="115.7109375" style="2248" customWidth="1"/>
    <col min="29" max="29" width="9.140625" style="2248"/>
    <col min="30" max="90" width="115.7109375" style="2248" customWidth="1"/>
    <col min="91" max="184" width="9.140625" style="2248"/>
  </cols>
  <sheetData>
    <row r="2" spans="1:80" s="2306" customFormat="1" ht="17.25" customHeight="1">
      <c r="A2" s="1733" t="s">
        <v>1932</v>
      </c>
    </row>
    <row r="4" spans="1:80" s="2304" customFormat="1" ht="15" customHeight="1">
      <c r="C4" s="1734"/>
      <c r="D4" s="53"/>
      <c r="E4" s="314"/>
    </row>
    <row r="6" spans="1:80" s="2306" customFormat="1" ht="17.25" customHeight="1">
      <c r="A6" s="1733" t="s">
        <v>1933</v>
      </c>
    </row>
    <row r="8" spans="1:80" s="2304" customFormat="1" ht="17.25" customHeight="1">
      <c r="C8" s="1735"/>
      <c r="D8" s="53"/>
      <c r="E8" s="54"/>
    </row>
    <row r="11" spans="1:80" s="2306" customFormat="1" ht="17.25" customHeight="1">
      <c r="A11" s="1733" t="s">
        <v>1934</v>
      </c>
    </row>
    <row r="13" spans="1:80" s="2247" customFormat="1" ht="15" customHeight="1">
      <c r="A13" s="2450">
        <v>1</v>
      </c>
      <c r="B13" s="1079"/>
      <c r="C13" s="732" t="s">
        <v>575</v>
      </c>
      <c r="D13" s="1736"/>
      <c r="E13" s="1723">
        <f>A13</f>
        <v>1</v>
      </c>
      <c r="F13" s="735"/>
      <c r="G13" s="477" t="str">
        <f>"Территория "&amp;E13</f>
        <v>Территория 1</v>
      </c>
      <c r="H13" s="723"/>
      <c r="I13" s="723"/>
      <c r="J13" s="720"/>
      <c r="K13" s="1543"/>
      <c r="L13" s="1543"/>
      <c r="M13" s="1543"/>
      <c r="N13" s="163"/>
      <c r="O13" s="1543"/>
      <c r="P13" s="162"/>
      <c r="Q13" s="162"/>
      <c r="R13" s="162"/>
      <c r="S13" s="162"/>
    </row>
    <row r="14" spans="1:80" s="2248" customFormat="1" ht="15" customHeight="1">
      <c r="A14" s="2450"/>
      <c r="B14" s="1079">
        <v>1</v>
      </c>
      <c r="C14" s="1079"/>
      <c r="D14" s="731"/>
      <c r="E14" s="1731" t="str">
        <f>A13&amp;"."&amp;B14</f>
        <v>1.1</v>
      </c>
      <c r="F14" s="734">
        <f>$F$20</f>
        <v>0</v>
      </c>
      <c r="G14" s="724"/>
      <c r="H14" s="724"/>
      <c r="I14" s="722"/>
      <c r="J14" s="1543"/>
      <c r="K14" s="1555"/>
      <c r="L14" s="1555"/>
      <c r="M14" s="1543" t="str">
        <f t="array" ref="M14">IF(ISERROR(MATCH(MID(N14,1,250),MID(note_ter,1,250),0)),"n","y")</f>
        <v>n</v>
      </c>
      <c r="N14" s="1555"/>
      <c r="O14" s="1543" t="str">
        <f>H14&amp;"("&amp;I14&amp;")"</f>
        <v>()</v>
      </c>
      <c r="P14" s="1079"/>
      <c r="Q14" s="1079"/>
      <c r="R14" s="357"/>
      <c r="S14" s="1079"/>
      <c r="T14" s="1079"/>
      <c r="U14" s="1079"/>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2248" customFormat="1" ht="15" customHeight="1">
      <c r="A15" s="2450"/>
      <c r="B15" s="1079"/>
      <c r="C15" s="349"/>
      <c r="D15" s="732"/>
      <c r="E15" s="358"/>
      <c r="F15" s="114"/>
      <c r="G15" s="352" t="s">
        <v>101</v>
      </c>
      <c r="H15" s="124"/>
      <c r="I15" s="361"/>
      <c r="J15" s="1555"/>
      <c r="K15" s="1555"/>
      <c r="L15" s="1555"/>
      <c r="M15" s="1555"/>
      <c r="N15" s="1543"/>
      <c r="O15" s="1555"/>
      <c r="P15" s="1079"/>
      <c r="Q15" s="1079"/>
      <c r="R15" s="357"/>
      <c r="S15" s="1079"/>
      <c r="T15" s="1079"/>
      <c r="U15" s="1079"/>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2306" customFormat="1" ht="17.25" customHeight="1">
      <c r="A17" s="1733" t="s">
        <v>1935</v>
      </c>
    </row>
    <row r="19" spans="1:80" s="2248" customFormat="1" ht="15" customHeight="1">
      <c r="A19" s="1798"/>
      <c r="B19" s="1285">
        <v>1</v>
      </c>
      <c r="C19" s="1285"/>
      <c r="D19" s="731" t="s">
        <v>575</v>
      </c>
      <c r="E19" s="1794"/>
      <c r="F19" s="1799">
        <f>$F$20</f>
        <v>0</v>
      </c>
      <c r="G19" s="1803"/>
      <c r="H19" s="1803"/>
      <c r="I19" s="1801"/>
      <c r="J19" s="1543"/>
      <c r="K19" s="1555"/>
      <c r="L19" s="1555"/>
      <c r="M19" s="1543" t="str">
        <f t="array" ref="M19">IF(ISERROR(MATCH(MID(N19,1,250),MID(note_ter,1,250),0)),"n","y")</f>
        <v>n</v>
      </c>
      <c r="N19" s="1555"/>
      <c r="O19" s="1543" t="str">
        <f>H19&amp;"("&amp;I19&amp;")"</f>
        <v>()</v>
      </c>
      <c r="P19" s="1285"/>
      <c r="Q19" s="1285"/>
      <c r="R19" s="357"/>
      <c r="S19" s="1285"/>
      <c r="T19" s="1285"/>
      <c r="U19" s="1285"/>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2248" customFormat="1" ht="15" customHeight="1">
      <c r="A21" s="1733" t="s">
        <v>1936</v>
      </c>
      <c r="B21" s="1733"/>
      <c r="C21" s="1733"/>
      <c r="D21" s="1733"/>
      <c r="E21" s="1733"/>
      <c r="F21" s="1733"/>
      <c r="G21" s="1733"/>
      <c r="H21" s="1733"/>
      <c r="I21" s="1733"/>
      <c r="J21" s="1733"/>
      <c r="K21" s="1733"/>
      <c r="L21" s="1733"/>
      <c r="M21" s="1733"/>
      <c r="N21" s="1733"/>
      <c r="O21" s="1733"/>
      <c r="P21" s="1733"/>
      <c r="Q21" s="1733"/>
      <c r="R21" s="1733"/>
      <c r="S21" s="1733"/>
      <c r="T21" s="1733"/>
      <c r="U21" s="121"/>
      <c r="V21" s="1733"/>
      <c r="W21" s="1733"/>
    </row>
    <row r="22" spans="1:80" s="2248" customFormat="1" ht="15" customHeight="1">
      <c r="U22" s="122"/>
    </row>
    <row r="23" spans="1:80" s="2254" customFormat="1" ht="15" customHeight="1">
      <c r="A23" s="360"/>
      <c r="B23" s="360"/>
      <c r="C23" s="1646" t="s">
        <v>575</v>
      </c>
      <c r="D23" s="2345" t="s">
        <v>108</v>
      </c>
      <c r="E23" s="2346"/>
      <c r="F23" s="2344" t="s">
        <v>19</v>
      </c>
      <c r="G23" s="2738"/>
      <c r="H23" s="2363">
        <v>1</v>
      </c>
      <c r="I23" s="2740" t="str">
        <f>IF(U23="","",INDEX(TERRITORY_MR_LIST,MATCH(U23,TERRITORY_LIST_ID,0)))</f>
        <v/>
      </c>
      <c r="J23" s="2344" t="s">
        <v>19</v>
      </c>
      <c r="K23" s="763"/>
      <c r="L23" s="1700" t="s">
        <v>108</v>
      </c>
      <c r="M23" s="540"/>
      <c r="N23" s="541"/>
      <c r="O23" s="541"/>
      <c r="P23" s="541"/>
      <c r="Q23" s="541"/>
      <c r="R23" s="541"/>
      <c r="S23" s="541"/>
      <c r="T23" s="541"/>
      <c r="U23" s="542"/>
      <c r="V23" s="541"/>
      <c r="W23" s="541"/>
      <c r="X23" s="532"/>
      <c r="Y23" s="532" t="s">
        <v>118</v>
      </c>
      <c r="Z23" s="532">
        <v>1705000</v>
      </c>
      <c r="AA23" s="532"/>
      <c r="AB23" s="532"/>
      <c r="AC23" s="532"/>
      <c r="AD23" s="532"/>
      <c r="AE23" s="532"/>
      <c r="AF23" s="532"/>
      <c r="AG23" s="532"/>
      <c r="AH23" s="532"/>
      <c r="AI23" s="532"/>
      <c r="AJ23" s="532"/>
      <c r="AK23" s="532"/>
      <c r="AL23" s="532"/>
    </row>
    <row r="24" spans="1:80" s="2254" customFormat="1" ht="15" customHeight="1">
      <c r="A24" s="360"/>
      <c r="B24" s="360"/>
      <c r="C24" s="113"/>
      <c r="D24" s="2345"/>
      <c r="E24" s="2347"/>
      <c r="F24" s="2344"/>
      <c r="G24" s="2739"/>
      <c r="H24" s="2363"/>
      <c r="I24" s="2741"/>
      <c r="J24" s="2344"/>
      <c r="K24" s="358"/>
      <c r="L24" s="114"/>
      <c r="M24" s="544" t="s">
        <v>119</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2254" customFormat="1" ht="15" customHeight="1">
      <c r="A25" s="360"/>
      <c r="B25" s="360"/>
      <c r="C25" s="113"/>
      <c r="D25" s="2345"/>
      <c r="E25" s="2348"/>
      <c r="F25" s="2344"/>
      <c r="G25" s="358"/>
      <c r="H25" s="114"/>
      <c r="I25" s="517" t="s">
        <v>120</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2248" customFormat="1" ht="15" customHeight="1">
      <c r="U26" s="122"/>
    </row>
    <row r="27" spans="1:80" s="2248" customFormat="1" ht="15" customHeight="1">
      <c r="A27" s="1733" t="s">
        <v>1937</v>
      </c>
      <c r="B27" s="1733"/>
      <c r="C27" s="1733"/>
      <c r="D27" s="1733"/>
      <c r="E27" s="1733"/>
      <c r="F27" s="1733"/>
      <c r="G27" s="1733"/>
      <c r="H27" s="1733"/>
      <c r="I27" s="1733"/>
      <c r="J27" s="1733"/>
      <c r="K27" s="1733"/>
      <c r="L27" s="1733"/>
      <c r="M27" s="1733"/>
      <c r="N27" s="1733"/>
      <c r="O27" s="1733"/>
      <c r="P27" s="1733"/>
      <c r="Q27" s="1733"/>
      <c r="R27" s="1733"/>
      <c r="S27" s="1733"/>
      <c r="T27" s="1733"/>
      <c r="U27" s="121"/>
      <c r="V27" s="1733"/>
      <c r="W27" s="1733"/>
    </row>
    <row r="28" spans="1:80" s="2248" customFormat="1" ht="15" customHeight="1">
      <c r="U28" s="122"/>
    </row>
    <row r="29" spans="1:80" s="2254" customFormat="1" ht="15" customHeight="1">
      <c r="A29" s="360"/>
      <c r="B29" s="360"/>
      <c r="C29" s="113"/>
      <c r="D29" s="1737"/>
      <c r="E29" s="1737"/>
      <c r="F29" s="1737"/>
      <c r="G29" s="2742" t="s">
        <v>575</v>
      </c>
      <c r="H29" s="2334">
        <v>1</v>
      </c>
      <c r="I29" s="2743" t="str">
        <f>IF(U29="","",INDEX(TERRITORY_MR_LIST,MATCH(U29,TERRITORY_LIST_ID,0)))</f>
        <v/>
      </c>
      <c r="J29" s="2344" t="s">
        <v>19</v>
      </c>
      <c r="K29" s="763"/>
      <c r="L29" s="1700" t="s">
        <v>108</v>
      </c>
      <c r="M29" s="540"/>
      <c r="N29" s="541"/>
      <c r="O29" s="541"/>
      <c r="P29" s="541"/>
      <c r="Q29" s="541"/>
      <c r="R29" s="541"/>
      <c r="S29" s="541"/>
      <c r="T29" s="541"/>
      <c r="U29" s="542"/>
      <c r="V29" s="541"/>
      <c r="W29" s="541"/>
      <c r="X29" s="532"/>
      <c r="Y29" s="532" t="s">
        <v>118</v>
      </c>
      <c r="Z29" s="532">
        <v>1705000</v>
      </c>
      <c r="AA29" s="532"/>
      <c r="AB29" s="532"/>
      <c r="AC29" s="532"/>
      <c r="AD29" s="532"/>
      <c r="AE29" s="532"/>
      <c r="AF29" s="532"/>
      <c r="AG29" s="532"/>
      <c r="AH29" s="532"/>
      <c r="AI29" s="532"/>
      <c r="AJ29" s="532"/>
      <c r="AK29" s="532"/>
      <c r="AL29" s="532"/>
    </row>
    <row r="30" spans="1:80" s="2254" customFormat="1" ht="15" customHeight="1">
      <c r="A30" s="360"/>
      <c r="B30" s="360"/>
      <c r="C30" s="113"/>
      <c r="D30" s="1737"/>
      <c r="E30" s="1737"/>
      <c r="F30" s="1737"/>
      <c r="G30" s="2742"/>
      <c r="H30" s="2334"/>
      <c r="I30" s="2743"/>
      <c r="J30" s="2344"/>
      <c r="K30" s="358"/>
      <c r="L30" s="114"/>
      <c r="M30" s="544" t="s">
        <v>119</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2248" customFormat="1" ht="15" customHeight="1">
      <c r="U31" s="122"/>
    </row>
    <row r="32" spans="1:80" s="2248" customFormat="1" ht="15" customHeight="1">
      <c r="A32" s="1733" t="s">
        <v>1938</v>
      </c>
      <c r="B32" s="1733"/>
      <c r="C32" s="1733"/>
      <c r="D32" s="1733"/>
      <c r="E32" s="1733"/>
      <c r="F32" s="1733"/>
      <c r="G32" s="1733"/>
      <c r="H32" s="1733"/>
      <c r="I32" s="1733"/>
      <c r="J32" s="1733"/>
      <c r="K32" s="1733"/>
      <c r="L32" s="1733"/>
      <c r="M32" s="1733"/>
      <c r="N32" s="1733"/>
      <c r="O32" s="1733"/>
      <c r="P32" s="1733"/>
      <c r="Q32" s="1733"/>
      <c r="R32" s="1733"/>
      <c r="S32" s="1733"/>
      <c r="T32" s="1733"/>
      <c r="U32" s="121"/>
      <c r="V32" s="1733"/>
      <c r="W32" s="1733"/>
    </row>
    <row r="33" spans="1:38" s="2248" customFormat="1" ht="15" customHeight="1">
      <c r="U33" s="122"/>
    </row>
    <row r="34" spans="1:38" s="2254" customFormat="1" ht="15" customHeight="1">
      <c r="A34" s="360"/>
      <c r="B34" s="360"/>
      <c r="C34" s="113"/>
      <c r="D34" s="1737"/>
      <c r="E34" s="1737"/>
      <c r="F34" s="1737"/>
      <c r="G34" s="1737"/>
      <c r="H34" s="1737"/>
      <c r="I34" s="1737"/>
      <c r="J34" s="1737"/>
      <c r="K34" s="1717" t="s">
        <v>575</v>
      </c>
      <c r="L34" s="1647" t="s">
        <v>108</v>
      </c>
      <c r="M34" s="742"/>
      <c r="N34" s="743"/>
      <c r="O34" s="541"/>
      <c r="P34" s="541"/>
      <c r="Q34" s="541"/>
      <c r="R34" s="541"/>
      <c r="S34" s="541"/>
      <c r="T34" s="541"/>
      <c r="U34" s="542"/>
      <c r="V34" s="541"/>
      <c r="W34" s="541"/>
      <c r="X34" s="532"/>
      <c r="Y34" s="532" t="s">
        <v>118</v>
      </c>
      <c r="Z34" s="532">
        <v>1705000</v>
      </c>
      <c r="AA34" s="532"/>
      <c r="AB34" s="532"/>
      <c r="AC34" s="532"/>
      <c r="AD34" s="532"/>
      <c r="AE34" s="532"/>
      <c r="AF34" s="532"/>
      <c r="AG34" s="532"/>
      <c r="AH34" s="532"/>
      <c r="AI34" s="532"/>
      <c r="AJ34" s="532"/>
      <c r="AK34" s="532"/>
      <c r="AL34" s="532"/>
    </row>
    <row r="35" spans="1:38" s="2248" customFormat="1" ht="15" customHeight="1">
      <c r="U35" s="122"/>
    </row>
    <row r="36" spans="1:38" s="2248" customFormat="1" ht="15" customHeight="1">
      <c r="U36" s="122"/>
    </row>
    <row r="37" spans="1:38" s="2306" customFormat="1" ht="11.25" customHeight="1">
      <c r="A37" s="1733" t="s">
        <v>1939</v>
      </c>
    </row>
    <row r="38" spans="1:38" ht="11.25" customHeight="1"/>
    <row r="39" spans="1:38" s="2266" customFormat="1" ht="22.5" customHeight="1">
      <c r="A39" s="1709"/>
      <c r="B39" s="394"/>
      <c r="C39" s="786"/>
      <c r="D39" s="377"/>
      <c r="E39" s="787"/>
      <c r="F39" s="1730"/>
      <c r="G39" s="1738"/>
      <c r="H39" s="412"/>
    </row>
    <row r="40" spans="1:38" ht="11.25" customHeight="1"/>
    <row r="41" spans="1:38" s="2306" customFormat="1" ht="11.25" customHeight="1">
      <c r="A41" s="1733" t="s">
        <v>1940</v>
      </c>
    </row>
    <row r="42" spans="1:38" ht="11.25" customHeight="1"/>
    <row r="43" spans="1:38" s="2266" customFormat="1" ht="22.5" customHeight="1">
      <c r="A43" s="394"/>
      <c r="B43" s="394"/>
      <c r="C43" s="394"/>
      <c r="D43" s="377"/>
      <c r="E43" s="787"/>
      <c r="F43" s="788"/>
      <c r="G43" s="1738"/>
      <c r="H43" s="412"/>
    </row>
    <row r="44" spans="1:38" ht="11.25" customHeight="1"/>
    <row r="45" spans="1:38" s="2306" customFormat="1" ht="11.25" customHeight="1">
      <c r="A45" s="1733" t="s">
        <v>1941</v>
      </c>
    </row>
    <row r="46" spans="1:38" ht="11.25" customHeight="1"/>
    <row r="47" spans="1:38" s="2266" customFormat="1" ht="24" customHeight="1">
      <c r="A47" s="2435" t="s">
        <v>311</v>
      </c>
      <c r="B47" s="439"/>
      <c r="C47" s="2446"/>
      <c r="D47" s="382" t="str">
        <f>A47</f>
        <v>5.1</v>
      </c>
      <c r="E47" s="379" t="s">
        <v>312</v>
      </c>
      <c r="F47" s="1889" t="s">
        <v>304</v>
      </c>
      <c r="G47" s="381" t="s">
        <v>313</v>
      </c>
      <c r="H47" s="412"/>
      <c r="I47" s="779"/>
    </row>
    <row r="48" spans="1:38" s="2266" customFormat="1" ht="22.5" customHeight="1">
      <c r="A48" s="2435"/>
      <c r="B48" s="439"/>
      <c r="C48" s="2446"/>
      <c r="D48" s="377" t="str">
        <f>D47&amp;".1"</f>
        <v>5.1.1</v>
      </c>
      <c r="E48" s="376" t="s">
        <v>314</v>
      </c>
      <c r="F48" s="1890" t="s">
        <v>22</v>
      </c>
      <c r="G48" s="411"/>
      <c r="H48" s="412"/>
      <c r="I48" s="779"/>
    </row>
    <row r="49" spans="1:45" s="2266" customFormat="1" ht="22.5" customHeight="1">
      <c r="A49" s="2435"/>
      <c r="B49" s="439"/>
      <c r="C49" s="2446"/>
      <c r="D49" s="377" t="str">
        <f>D47&amp;".2"</f>
        <v>5.1.2</v>
      </c>
      <c r="E49" s="376" t="s">
        <v>315</v>
      </c>
      <c r="F49" s="1650" t="s">
        <v>22</v>
      </c>
      <c r="G49" s="381" t="s">
        <v>316</v>
      </c>
      <c r="H49" s="412"/>
      <c r="I49" s="779"/>
    </row>
    <row r="50" spans="1:45" s="2266" customFormat="1" ht="22.5" customHeight="1">
      <c r="A50" s="2435"/>
      <c r="B50" s="439"/>
      <c r="C50" s="2446"/>
      <c r="D50" s="377" t="str">
        <f>D47&amp;".3"</f>
        <v>5.1.3</v>
      </c>
      <c r="E50" s="376" t="s">
        <v>317</v>
      </c>
      <c r="F50" s="1890" t="s">
        <v>22</v>
      </c>
      <c r="G50" s="411"/>
      <c r="H50" s="412"/>
      <c r="I50" s="779"/>
    </row>
    <row r="51" spans="1:45" s="2266" customFormat="1" ht="22.5" customHeight="1">
      <c r="A51" s="2435"/>
      <c r="B51" s="439"/>
      <c r="C51" s="2446"/>
      <c r="D51" s="377" t="str">
        <f>D47&amp;".4"</f>
        <v>5.1.4</v>
      </c>
      <c r="E51" s="376" t="s">
        <v>318</v>
      </c>
      <c r="F51" s="1890" t="s">
        <v>22</v>
      </c>
      <c r="G51" s="381" t="s">
        <v>319</v>
      </c>
      <c r="H51" s="412"/>
      <c r="I51" s="779"/>
    </row>
    <row r="54" spans="1:45" s="2306" customFormat="1" ht="17.25" customHeight="1">
      <c r="A54" s="1733" t="s">
        <v>1942</v>
      </c>
    </row>
    <row r="56" spans="1:45" s="2237" customFormat="1" ht="18.75" customHeight="1">
      <c r="A56" s="29"/>
      <c r="B56" s="1739"/>
      <c r="C56" s="1739"/>
      <c r="D56" s="1740"/>
      <c r="E56" s="1727"/>
      <c r="F56" s="795">
        <v>13</v>
      </c>
      <c r="G56" s="794"/>
      <c r="H56" s="724"/>
      <c r="I56" s="722"/>
      <c r="J56" s="457" t="s">
        <v>64</v>
      </c>
      <c r="K56" s="1741" t="s">
        <v>22</v>
      </c>
      <c r="L56" s="29"/>
      <c r="M56" s="1555"/>
      <c r="N56" s="1555"/>
      <c r="O56" s="1555"/>
      <c r="P56" s="453" t="s">
        <v>390</v>
      </c>
      <c r="Q56" s="453" t="s">
        <v>391</v>
      </c>
      <c r="R56" s="454" t="s">
        <v>392</v>
      </c>
      <c r="S56" s="1555" t="s">
        <v>393</v>
      </c>
      <c r="T56" s="1555"/>
      <c r="U56" s="1555"/>
      <c r="V56" s="1555"/>
    </row>
    <row r="58" spans="1:45" s="2306" customFormat="1" ht="11.25" customHeight="1">
      <c r="A58" s="1733" t="s">
        <v>1943</v>
      </c>
    </row>
    <row r="60" spans="1:45" s="2238" customFormat="1" ht="14.25" customHeight="1">
      <c r="C60" s="1607"/>
      <c r="D60" s="1785"/>
      <c r="E60" s="1695" t="s">
        <v>22</v>
      </c>
      <c r="F60" s="1784"/>
      <c r="G60" s="783"/>
      <c r="H60" s="1696"/>
      <c r="I60" s="1696"/>
      <c r="J60" s="370"/>
      <c r="K60" s="1779"/>
      <c r="L60" s="369"/>
      <c r="M60" s="1779"/>
      <c r="N60" s="370"/>
      <c r="O60" s="1779"/>
      <c r="P60" s="370"/>
      <c r="Q60" s="1779"/>
      <c r="R60" s="370"/>
      <c r="S60" s="781"/>
      <c r="T60" s="1696"/>
      <c r="U60" s="370"/>
      <c r="V60" s="370"/>
      <c r="W60" s="1783"/>
      <c r="X60" s="1696"/>
      <c r="Y60" s="370"/>
      <c r="Z60" s="370"/>
      <c r="AA60" s="1783"/>
      <c r="AB60" s="1696"/>
      <c r="AC60" s="370"/>
      <c r="AD60" s="1783"/>
      <c r="AE60" s="29"/>
      <c r="AF60" s="29"/>
      <c r="AG60" s="29"/>
      <c r="AH60" s="29"/>
      <c r="AJ60" s="1555"/>
      <c r="AK60" s="1555"/>
      <c r="AL60" s="1555"/>
      <c r="AM60" s="1555"/>
      <c r="AN60" s="1555"/>
      <c r="AO60" s="1555"/>
      <c r="AP60" s="1543" t="s">
        <v>379</v>
      </c>
      <c r="AQ60" s="1543" t="s">
        <v>379</v>
      </c>
      <c r="AR60" s="1555"/>
      <c r="AS60" s="1555"/>
    </row>
    <row r="62" spans="1:45" s="2306" customFormat="1" ht="11.25" customHeight="1">
      <c r="A62" s="1733" t="s">
        <v>1944</v>
      </c>
    </row>
    <row r="64" spans="1:45" s="2294" customFormat="1" ht="15" customHeight="1">
      <c r="A64" s="83" t="s">
        <v>89</v>
      </c>
      <c r="B64" s="65" t="s">
        <v>22</v>
      </c>
      <c r="C64" s="1742"/>
      <c r="D64" s="68"/>
      <c r="E64" s="318"/>
      <c r="F64" s="318"/>
      <c r="G64" s="1721"/>
      <c r="H64" s="1741"/>
      <c r="I64" s="1722"/>
      <c r="K64" s="209"/>
      <c r="L64" s="210"/>
    </row>
    <row r="66" spans="1:30" s="2306" customFormat="1" ht="11.25" customHeight="1">
      <c r="A66" s="1733" t="s">
        <v>1945</v>
      </c>
    </row>
    <row r="68" spans="1:30" s="2238" customFormat="1" ht="14.25" customHeight="1">
      <c r="A68" s="280"/>
      <c r="B68" s="1079"/>
      <c r="C68" s="313"/>
      <c r="D68" s="1728"/>
      <c r="E68" s="812"/>
      <c r="F68" s="1741"/>
      <c r="G68" s="29"/>
      <c r="I68" s="1543"/>
      <c r="J68" s="1543"/>
    </row>
    <row r="70" spans="1:30" s="2306" customFormat="1" ht="11.25" customHeight="1">
      <c r="A70" s="1733" t="s">
        <v>1946</v>
      </c>
    </row>
    <row r="72" spans="1:30" s="2238" customFormat="1" ht="27" customHeight="1">
      <c r="A72" s="1085"/>
      <c r="B72" s="1085"/>
      <c r="C72" s="1085"/>
      <c r="D72" s="1079"/>
      <c r="E72" s="1743"/>
      <c r="F72" s="2608"/>
      <c r="G72" s="2609"/>
      <c r="H72" s="2610" t="s">
        <v>64</v>
      </c>
      <c r="I72" s="2612"/>
      <c r="J72" s="2603"/>
      <c r="K72" s="2614"/>
      <c r="L72" s="2605"/>
      <c r="M72" s="2605"/>
      <c r="N72" s="2606"/>
      <c r="O72" s="2606"/>
      <c r="P72" s="2607" t="e">
        <f>DATEDIF(DATEVALUE(N72),DATEVALUE(O72),"y")&amp;"г. "&amp;DATEDIF(DATEVALUE(N72),DATEVALUE(O72),"ym")&amp;"мес. "&amp;DATEVALUE(O72)-DATE(YEAR(DATEVALUE(O72)),MONTH(DATEVALUE(O72)),1)&amp;"дн. "</f>
        <v>#VALUE!</v>
      </c>
      <c r="Q72" s="2602"/>
      <c r="R72" s="2602"/>
      <c r="S72" s="2602"/>
      <c r="T72" s="2603"/>
      <c r="U72" s="2602"/>
      <c r="V72" s="2602"/>
      <c r="W72" s="2602"/>
      <c r="X72" s="2603"/>
      <c r="Y72" s="2600" t="s">
        <v>64</v>
      </c>
      <c r="Z72" s="1726"/>
      <c r="AA72" s="1710">
        <v>1</v>
      </c>
      <c r="AB72" s="1161"/>
      <c r="AD72" s="1555" t="s">
        <v>1947</v>
      </c>
    </row>
    <row r="73" spans="1:30" s="2238" customFormat="1" ht="10.5" customHeight="1">
      <c r="A73" s="1085"/>
      <c r="B73" s="1085"/>
      <c r="C73" s="1085"/>
      <c r="D73" s="1079"/>
      <c r="E73" s="873"/>
      <c r="F73" s="2608"/>
      <c r="G73" s="2609"/>
      <c r="H73" s="2611"/>
      <c r="I73" s="2613"/>
      <c r="J73" s="2604"/>
      <c r="K73" s="2614"/>
      <c r="L73" s="2605"/>
      <c r="M73" s="2605"/>
      <c r="N73" s="2606"/>
      <c r="O73" s="2606"/>
      <c r="P73" s="2607"/>
      <c r="Q73" s="2602"/>
      <c r="R73" s="2602"/>
      <c r="S73" s="2602"/>
      <c r="T73" s="2604"/>
      <c r="U73" s="2602"/>
      <c r="V73" s="2602"/>
      <c r="W73" s="2602"/>
      <c r="X73" s="2604"/>
      <c r="Y73" s="2601"/>
      <c r="Z73" s="284"/>
      <c r="AA73" s="509"/>
      <c r="AB73" s="589" t="s">
        <v>1001</v>
      </c>
    </row>
    <row r="75" spans="1:30" s="2306" customFormat="1" ht="11.25" customHeight="1">
      <c r="A75" s="1733" t="s">
        <v>1948</v>
      </c>
    </row>
    <row r="77" spans="1:30" s="2238" customFormat="1" ht="27" customHeight="1">
      <c r="A77" s="1085"/>
      <c r="B77" s="1085"/>
      <c r="C77" s="1085"/>
      <c r="D77" s="1079"/>
      <c r="E77" s="1743"/>
      <c r="F77" s="1715"/>
      <c r="G77" s="1665"/>
      <c r="H77" s="1666"/>
      <c r="I77" s="1667"/>
      <c r="J77" s="1668"/>
      <c r="K77" s="1669"/>
      <c r="L77" s="1670"/>
      <c r="M77" s="1670"/>
      <c r="N77" s="1671"/>
      <c r="O77" s="1671"/>
      <c r="P77" s="1672"/>
      <c r="Q77" s="1673"/>
      <c r="R77" s="1673"/>
      <c r="S77" s="1673"/>
      <c r="T77" s="1668"/>
      <c r="U77" s="1673"/>
      <c r="V77" s="1673"/>
      <c r="W77" s="1673"/>
      <c r="X77" s="1668"/>
      <c r="Y77" s="1666"/>
      <c r="Z77" s="1726"/>
      <c r="AA77" s="1710">
        <v>1</v>
      </c>
      <c r="AB77" s="1161"/>
      <c r="AD77" s="1555" t="s">
        <v>1947</v>
      </c>
    </row>
    <row r="79" spans="1:30" s="2306" customFormat="1" ht="11.25" customHeight="1">
      <c r="A79" s="1733" t="s">
        <v>1949</v>
      </c>
    </row>
    <row r="80" spans="1:30" ht="17.25" customHeight="1"/>
    <row r="81" spans="1:58" s="2238" customFormat="1" ht="21" customHeight="1">
      <c r="A81" s="1086"/>
      <c r="B81" s="1085"/>
      <c r="C81" s="1085"/>
      <c r="D81" s="1079"/>
      <c r="E81" s="1089"/>
      <c r="F81" s="1042" t="e">
        <f>INDEX(IP_MAIN_LIST_NAME_IP,MATCH(A81,IP_MAIN_LIST_IP_ID,0))&amp;" ("&amp;INDEX(IP_MAIN_START_DATE,MATCH(A81,IP_MAIN_LIST_IP_ID,0))&amp;"-"&amp;INDEX(IP_MAIN_END_DATE,MATCH(A81,IP_MAIN_LIST_IP_ID,0))&amp;")"</f>
        <v>#N/A</v>
      </c>
      <c r="G81" s="1043"/>
      <c r="H81" s="1043"/>
      <c r="I81" s="1104"/>
      <c r="J81" s="1104"/>
      <c r="K81" s="1105"/>
      <c r="L81" s="1105"/>
      <c r="M81" s="1105"/>
      <c r="N81" s="1106"/>
      <c r="O81" s="1106"/>
      <c r="P81" s="1106"/>
      <c r="Q81" s="1106"/>
      <c r="R81" s="1106"/>
      <c r="S81" s="1106"/>
      <c r="T81" s="1106"/>
      <c r="U81" s="1106"/>
      <c r="V81" s="1106"/>
      <c r="W81" s="1106"/>
      <c r="X81" s="1106"/>
      <c r="Y81" s="1106"/>
      <c r="Z81" s="1106"/>
      <c r="AA81" s="1106"/>
      <c r="AB81" s="1106"/>
      <c r="AC81" s="1106"/>
      <c r="AD81" s="1106"/>
      <c r="AE81" s="1107"/>
      <c r="AF81" s="1105"/>
      <c r="AG81" s="1105"/>
      <c r="AH81" s="1105"/>
      <c r="AI81" s="1105"/>
      <c r="AJ81" s="1105"/>
      <c r="AK81" s="1105"/>
      <c r="AL81" s="1901"/>
      <c r="AM81" s="1739"/>
      <c r="AN81" s="1739"/>
      <c r="AO81" s="1739"/>
      <c r="AP81" s="1739"/>
      <c r="AQ81" s="1739"/>
      <c r="AR81" s="1739"/>
      <c r="AS81" s="1739"/>
      <c r="AT81" s="1739"/>
      <c r="AU81" s="1739"/>
      <c r="AV81" s="1739"/>
      <c r="AW81" s="1739"/>
      <c r="AX81" s="1739"/>
      <c r="AY81" s="1739"/>
      <c r="AZ81" s="1739"/>
      <c r="BA81" s="1739"/>
      <c r="BB81" s="1739"/>
      <c r="BC81" s="1739"/>
      <c r="BD81" s="1739"/>
      <c r="BE81" s="1739"/>
      <c r="BF81" s="1739"/>
    </row>
    <row r="82" spans="1:58" s="2238" customFormat="1" ht="0.75" customHeight="1">
      <c r="A82" s="1085"/>
      <c r="B82" s="1085"/>
      <c r="C82" s="1085"/>
      <c r="D82" s="1079"/>
      <c r="E82" s="1089"/>
      <c r="F82" s="2624"/>
      <c r="G82" s="2633"/>
      <c r="H82" s="2629" t="s">
        <v>374</v>
      </c>
      <c r="I82" s="2630"/>
      <c r="J82" s="2628"/>
      <c r="K82" s="2628"/>
      <c r="L82" s="2622"/>
      <c r="M82" s="2489"/>
      <c r="N82" s="1949"/>
      <c r="O82" s="1948"/>
      <c r="P82" s="1949"/>
      <c r="Q82" s="1949"/>
      <c r="R82" s="1949"/>
      <c r="S82" s="1949"/>
      <c r="T82" s="1949"/>
      <c r="U82" s="1949"/>
      <c r="V82" s="1949"/>
      <c r="W82" s="1949"/>
      <c r="X82" s="1949"/>
      <c r="Y82" s="1949"/>
      <c r="Z82" s="1949"/>
      <c r="AA82" s="1949"/>
      <c r="AB82" s="1949"/>
      <c r="AC82" s="1949"/>
      <c r="AD82" s="1949"/>
      <c r="AE82" s="1949"/>
      <c r="AF82" s="2627"/>
      <c r="AG82" s="2622"/>
      <c r="AH82" s="2622"/>
      <c r="AI82" s="2627"/>
      <c r="AJ82" s="2622"/>
      <c r="AK82" s="2622"/>
      <c r="AL82" s="1901"/>
      <c r="AM82" s="1739"/>
      <c r="AN82" s="1739"/>
      <c r="AO82" s="1739"/>
      <c r="AP82" s="1739"/>
      <c r="AQ82" s="1739"/>
      <c r="AR82" s="1739"/>
      <c r="AS82" s="1739"/>
      <c r="AT82" s="1739"/>
      <c r="AU82" s="1739"/>
      <c r="AV82" s="1739"/>
      <c r="AW82" s="1739"/>
      <c r="AX82" s="1739"/>
      <c r="AY82" s="1739"/>
      <c r="AZ82" s="1739"/>
      <c r="BA82" s="1739"/>
      <c r="BB82" s="1739"/>
      <c r="BC82" s="1739"/>
      <c r="BD82" s="1739"/>
      <c r="BE82" s="1739"/>
      <c r="BF82" s="1739"/>
    </row>
    <row r="83" spans="1:58" s="2238" customFormat="1" ht="0.75" customHeight="1">
      <c r="A83" s="1085"/>
      <c r="B83" s="1085"/>
      <c r="C83" s="1085"/>
      <c r="D83" s="1079"/>
      <c r="E83" s="1089"/>
      <c r="F83" s="2624"/>
      <c r="G83" s="2633"/>
      <c r="H83" s="2629"/>
      <c r="I83" s="2630"/>
      <c r="J83" s="2628"/>
      <c r="K83" s="2628"/>
      <c r="L83" s="2622"/>
      <c r="M83" s="2489"/>
      <c r="N83" s="2631"/>
      <c r="O83" s="2632"/>
      <c r="P83" s="2634"/>
      <c r="Q83" s="2628"/>
      <c r="R83" s="2628"/>
      <c r="S83" s="2628"/>
      <c r="T83" s="2628"/>
      <c r="U83" s="2628"/>
      <c r="V83" s="2628"/>
      <c r="W83" s="2628"/>
      <c r="X83" s="2628"/>
      <c r="Y83" s="2628"/>
      <c r="Z83" s="1950"/>
      <c r="AA83" s="1951"/>
      <c r="AB83" s="1951"/>
      <c r="AC83" s="1952"/>
      <c r="AD83" s="1952"/>
      <c r="AE83" s="1953"/>
      <c r="AF83" s="2627"/>
      <c r="AG83" s="2622"/>
      <c r="AH83" s="2622"/>
      <c r="AI83" s="2627"/>
      <c r="AJ83" s="2622"/>
      <c r="AK83" s="2622"/>
      <c r="AL83" s="1901"/>
      <c r="AM83" s="1739"/>
      <c r="AN83" s="1739"/>
      <c r="AO83" s="1739"/>
      <c r="AP83" s="1739"/>
      <c r="AQ83" s="1739"/>
      <c r="AR83" s="1739"/>
      <c r="AS83" s="1739"/>
      <c r="AT83" s="1739"/>
      <c r="AU83" s="1739"/>
      <c r="AV83" s="1739"/>
      <c r="AW83" s="1739"/>
      <c r="AX83" s="1739"/>
      <c r="AY83" s="1739"/>
      <c r="AZ83" s="1739"/>
      <c r="BA83" s="1739"/>
      <c r="BB83" s="1739"/>
      <c r="BC83" s="1739"/>
      <c r="BD83" s="1739"/>
      <c r="BE83" s="1739"/>
      <c r="BF83" s="1739"/>
    </row>
    <row r="84" spans="1:58" s="2238" customFormat="1" ht="0.75" customHeight="1">
      <c r="A84" s="1085"/>
      <c r="B84" s="1085"/>
      <c r="C84" s="1085"/>
      <c r="D84" s="1079"/>
      <c r="E84" s="1089"/>
      <c r="F84" s="2624"/>
      <c r="G84" s="2633"/>
      <c r="H84" s="2629"/>
      <c r="I84" s="2630"/>
      <c r="J84" s="2628"/>
      <c r="K84" s="2628"/>
      <c r="L84" s="2622"/>
      <c r="M84" s="2489"/>
      <c r="N84" s="2631"/>
      <c r="O84" s="2632"/>
      <c r="P84" s="2635"/>
      <c r="Q84" s="2628"/>
      <c r="R84" s="2628"/>
      <c r="S84" s="2628"/>
      <c r="T84" s="2628"/>
      <c r="U84" s="2628"/>
      <c r="V84" s="2628"/>
      <c r="W84" s="2628"/>
      <c r="X84" s="2628"/>
      <c r="Y84" s="2628"/>
      <c r="Z84" s="1954"/>
      <c r="AA84" s="1955"/>
      <c r="AB84" s="1956"/>
      <c r="AC84" s="1957"/>
      <c r="AD84" s="1956"/>
      <c r="AE84" s="1957"/>
      <c r="AF84" s="2627"/>
      <c r="AG84" s="2622"/>
      <c r="AH84" s="2622"/>
      <c r="AI84" s="2627"/>
      <c r="AJ84" s="2622"/>
      <c r="AK84" s="2622"/>
      <c r="AL84" s="1901"/>
      <c r="AM84" s="1739"/>
      <c r="AN84" s="1739"/>
      <c r="AO84" s="1739"/>
      <c r="AP84" s="1739"/>
      <c r="AQ84" s="1739"/>
      <c r="AR84" s="1739"/>
      <c r="AS84" s="1739"/>
      <c r="AT84" s="1739"/>
      <c r="AU84" s="1739"/>
      <c r="AV84" s="1739"/>
      <c r="AW84" s="1739"/>
      <c r="AX84" s="1739"/>
      <c r="AY84" s="1739"/>
      <c r="AZ84" s="1739"/>
      <c r="BA84" s="1739"/>
      <c r="BB84" s="1739"/>
      <c r="BC84" s="1739"/>
      <c r="BD84" s="1739"/>
      <c r="BE84" s="1739"/>
      <c r="BF84" s="1739"/>
    </row>
    <row r="85" spans="1:58" s="2238" customFormat="1" ht="0.75" customHeight="1">
      <c r="A85" s="1085"/>
      <c r="B85" s="1085"/>
      <c r="C85" s="1085"/>
      <c r="D85" s="1079"/>
      <c r="E85" s="1089"/>
      <c r="F85" s="2624"/>
      <c r="G85" s="2633"/>
      <c r="H85" s="2629"/>
      <c r="I85" s="2630"/>
      <c r="J85" s="2628"/>
      <c r="K85" s="2628"/>
      <c r="L85" s="2622"/>
      <c r="M85" s="2489"/>
      <c r="N85" s="2631"/>
      <c r="O85" s="2632"/>
      <c r="P85" s="2636"/>
      <c r="Q85" s="2628"/>
      <c r="R85" s="2628"/>
      <c r="S85" s="2628"/>
      <c r="T85" s="2628"/>
      <c r="U85" s="2628"/>
      <c r="V85" s="2628"/>
      <c r="W85" s="2628"/>
      <c r="X85" s="2628"/>
      <c r="Y85" s="2628"/>
      <c r="Z85" s="1950"/>
      <c r="AA85" s="1951"/>
      <c r="AB85" s="1958"/>
      <c r="AC85" s="1952"/>
      <c r="AD85" s="1952"/>
      <c r="AE85" s="1959"/>
      <c r="AF85" s="2627"/>
      <c r="AG85" s="2622"/>
      <c r="AH85" s="2622"/>
      <c r="AI85" s="2627"/>
      <c r="AJ85" s="2622"/>
      <c r="AK85" s="2622"/>
      <c r="AL85" s="1901"/>
      <c r="AM85" s="1739"/>
      <c r="AN85" s="1739"/>
      <c r="AO85" s="1739"/>
      <c r="AP85" s="1739"/>
      <c r="AQ85" s="1739"/>
      <c r="AR85" s="1739"/>
      <c r="AS85" s="1739"/>
      <c r="AT85" s="1739"/>
      <c r="AU85" s="1739"/>
      <c r="AV85" s="1739"/>
      <c r="AW85" s="1739"/>
      <c r="AX85" s="1739"/>
      <c r="AY85" s="1739"/>
      <c r="AZ85" s="1739"/>
      <c r="BA85" s="1739"/>
      <c r="BB85" s="1739"/>
      <c r="BC85" s="1739"/>
      <c r="BD85" s="1739"/>
      <c r="BE85" s="1739"/>
      <c r="BF85" s="1739"/>
    </row>
    <row r="86" spans="1:58" s="2238" customFormat="1" ht="0.75" customHeight="1">
      <c r="A86" s="1085"/>
      <c r="B86" s="1085"/>
      <c r="C86" s="1085"/>
      <c r="D86" s="1079"/>
      <c r="E86" s="1089"/>
      <c r="F86" s="2624"/>
      <c r="G86" s="2633"/>
      <c r="H86" s="2629"/>
      <c r="I86" s="2630"/>
      <c r="J86" s="2628"/>
      <c r="K86" s="2628"/>
      <c r="L86" s="2622"/>
      <c r="M86" s="2489"/>
      <c r="N86" s="1951"/>
      <c r="O86" s="1951"/>
      <c r="P86" s="1958"/>
      <c r="Q86" s="1951"/>
      <c r="R86" s="1951"/>
      <c r="S86" s="1951"/>
      <c r="T86" s="1951"/>
      <c r="U86" s="1951"/>
      <c r="V86" s="1951"/>
      <c r="W86" s="1951"/>
      <c r="X86" s="1951"/>
      <c r="Y86" s="1951"/>
      <c r="Z86" s="1951"/>
      <c r="AA86" s="1951"/>
      <c r="AB86" s="1951"/>
      <c r="AC86" s="1951"/>
      <c r="AD86" s="1951"/>
      <c r="AE86" s="1960"/>
      <c r="AF86" s="2627"/>
      <c r="AG86" s="2622"/>
      <c r="AH86" s="2622"/>
      <c r="AI86" s="2627"/>
      <c r="AJ86" s="2622"/>
      <c r="AK86" s="2622"/>
      <c r="AL86" s="1901"/>
      <c r="AM86" s="1739"/>
      <c r="AN86" s="1739"/>
      <c r="AO86" s="1739"/>
      <c r="AP86" s="1739"/>
      <c r="AQ86" s="1739"/>
      <c r="AR86" s="1739"/>
      <c r="AS86" s="1739"/>
      <c r="AT86" s="1739"/>
      <c r="AU86" s="1739"/>
      <c r="AV86" s="1739"/>
      <c r="AW86" s="1739"/>
      <c r="AX86" s="1739"/>
      <c r="AY86" s="1739"/>
      <c r="AZ86" s="1739"/>
      <c r="BA86" s="1739"/>
      <c r="BB86" s="1739"/>
      <c r="BC86" s="1739"/>
      <c r="BD86" s="1739"/>
      <c r="BE86" s="1739"/>
      <c r="BF86" s="1739"/>
    </row>
    <row r="87" spans="1:58" s="2238" customFormat="1" ht="12" customHeight="1">
      <c r="A87" s="1085"/>
      <c r="B87" s="1085"/>
      <c r="C87" s="1085"/>
      <c r="D87" s="1079"/>
      <c r="E87" s="1089"/>
      <c r="F87" s="2626"/>
      <c r="G87" s="1109"/>
      <c r="H87" s="1109"/>
      <c r="I87" s="2623" t="s">
        <v>1042</v>
      </c>
      <c r="J87" s="2623"/>
      <c r="K87" s="2623"/>
      <c r="L87" s="1092"/>
      <c r="M87" s="1092"/>
      <c r="N87" s="1093"/>
      <c r="O87" s="1093"/>
      <c r="P87" s="1093"/>
      <c r="Q87" s="1093"/>
      <c r="R87" s="1093"/>
      <c r="S87" s="1093"/>
      <c r="T87" s="1093"/>
      <c r="U87" s="1093"/>
      <c r="V87" s="1093"/>
      <c r="W87" s="1093"/>
      <c r="X87" s="1093"/>
      <c r="Y87" s="1093"/>
      <c r="Z87" s="1093"/>
      <c r="AA87" s="1093"/>
      <c r="AB87" s="1093"/>
      <c r="AC87" s="1093"/>
      <c r="AD87" s="1093"/>
      <c r="AE87" s="1093"/>
      <c r="AF87" s="1093"/>
      <c r="AG87" s="1092"/>
      <c r="AH87" s="1092"/>
      <c r="AI87" s="1093"/>
      <c r="AJ87" s="1092"/>
      <c r="AK87" s="1093"/>
      <c r="AL87" s="1901"/>
      <c r="AM87" s="1739"/>
      <c r="AN87" s="1739"/>
      <c r="AO87" s="1739"/>
      <c r="AP87" s="1739"/>
      <c r="AQ87" s="1739"/>
      <c r="AR87" s="1739"/>
      <c r="AS87" s="1739"/>
      <c r="AT87" s="1739"/>
      <c r="AU87" s="1739"/>
      <c r="AV87" s="1739"/>
      <c r="AW87" s="1739"/>
      <c r="AX87" s="1739"/>
      <c r="AY87" s="1739"/>
      <c r="AZ87" s="1739"/>
      <c r="BA87" s="1739"/>
      <c r="BB87" s="1739"/>
      <c r="BC87" s="1739"/>
      <c r="BD87" s="1739"/>
      <c r="BE87" s="1739"/>
      <c r="BF87" s="1739"/>
    </row>
    <row r="89" spans="1:58" s="2306" customFormat="1" ht="11.25" customHeight="1">
      <c r="A89" s="1733" t="s">
        <v>1950</v>
      </c>
    </row>
    <row r="91" spans="1:58" s="2238" customFormat="1" ht="11.25" customHeight="1">
      <c r="A91" s="1085"/>
      <c r="B91" s="1085"/>
      <c r="C91" s="1085"/>
      <c r="D91" s="1079"/>
      <c r="E91" s="1089"/>
      <c r="F91" s="1745"/>
      <c r="G91" s="1746"/>
      <c r="H91" s="1746"/>
      <c r="I91" s="1682"/>
      <c r="J91" s="1682"/>
      <c r="K91" s="1747"/>
      <c r="L91" s="1682"/>
      <c r="M91" s="1746"/>
      <c r="N91" s="2640"/>
      <c r="O91" s="2754">
        <v>1</v>
      </c>
      <c r="P91" s="2642" t="s">
        <v>19</v>
      </c>
      <c r="Q91" s="2597" t="s">
        <v>22</v>
      </c>
      <c r="R91" s="2597" t="s">
        <v>22</v>
      </c>
      <c r="S91" s="2597" t="s">
        <v>22</v>
      </c>
      <c r="T91" s="2597" t="s">
        <v>22</v>
      </c>
      <c r="U91" s="2597" t="s">
        <v>22</v>
      </c>
      <c r="V91" s="2597" t="s">
        <v>22</v>
      </c>
      <c r="W91" s="2597" t="s">
        <v>22</v>
      </c>
      <c r="X91" s="2597" t="s">
        <v>22</v>
      </c>
      <c r="Y91" s="2597"/>
      <c r="Z91" s="1094"/>
      <c r="AA91" s="1095"/>
      <c r="AB91" s="1095"/>
      <c r="AC91" s="1099"/>
      <c r="AD91" s="1099"/>
      <c r="AE91" s="1099"/>
      <c r="AF91" s="1748"/>
      <c r="AG91" s="1677"/>
      <c r="AH91" s="1677"/>
      <c r="AI91" s="1748"/>
      <c r="AJ91" s="1677"/>
      <c r="AK91" s="1900"/>
      <c r="AL91" s="1901"/>
      <c r="AM91" s="1739"/>
      <c r="AN91" s="1739"/>
      <c r="AO91" s="1739"/>
      <c r="AP91" s="1739"/>
      <c r="AQ91" s="1739"/>
      <c r="AR91" s="1739"/>
      <c r="AS91" s="1739"/>
      <c r="AT91" s="1739"/>
      <c r="AU91" s="1739"/>
      <c r="AV91" s="1739"/>
      <c r="AW91" s="1739"/>
      <c r="AX91" s="1739"/>
      <c r="AY91" s="1739"/>
      <c r="AZ91" s="1739"/>
      <c r="BA91" s="1739"/>
      <c r="BB91" s="1739"/>
      <c r="BC91" s="1739"/>
      <c r="BD91" s="1739"/>
      <c r="BE91" s="1739"/>
      <c r="BF91" s="1739"/>
    </row>
    <row r="92" spans="1:58" s="2238" customFormat="1" ht="11.25" customHeight="1">
      <c r="A92" s="1085"/>
      <c r="B92" s="1085"/>
      <c r="C92" s="1085"/>
      <c r="D92" s="1079"/>
      <c r="E92" s="1089"/>
      <c r="F92" s="1745"/>
      <c r="G92" s="1746"/>
      <c r="H92" s="1746"/>
      <c r="I92" s="1683"/>
      <c r="J92" s="1683"/>
      <c r="K92" s="1747"/>
      <c r="L92" s="1683"/>
      <c r="M92" s="1746"/>
      <c r="N92" s="2640"/>
      <c r="O92" s="2754"/>
      <c r="P92" s="2643"/>
      <c r="Q92" s="2597"/>
      <c r="R92" s="2597"/>
      <c r="S92" s="2645"/>
      <c r="T92" s="2597"/>
      <c r="U92" s="2597"/>
      <c r="V92" s="2597"/>
      <c r="W92" s="2597"/>
      <c r="X92" s="2597"/>
      <c r="Y92" s="2597"/>
      <c r="Z92" s="1744"/>
      <c r="AA92" s="1712">
        <v>1</v>
      </c>
      <c r="AB92" s="1098"/>
      <c r="AC92" s="1088"/>
      <c r="AD92" s="1098">
        <f>AB92</f>
        <v>0</v>
      </c>
      <c r="AE92" s="661"/>
      <c r="AF92" s="1747"/>
      <c r="AG92" s="1677"/>
      <c r="AH92" s="1677"/>
      <c r="AI92" s="1747"/>
      <c r="AJ92" s="1677"/>
      <c r="AK92" s="1900"/>
      <c r="AL92" s="1901"/>
      <c r="AM92" s="1739"/>
      <c r="AN92" s="1739"/>
      <c r="AO92" s="1739"/>
      <c r="AP92" s="1739"/>
      <c r="AQ92" s="1739"/>
      <c r="AR92" s="1739"/>
      <c r="AS92" s="1739"/>
      <c r="AT92" s="1739"/>
      <c r="AU92" s="1739"/>
      <c r="AV92" s="1739"/>
      <c r="AW92" s="1739"/>
      <c r="AX92" s="1739"/>
      <c r="AY92" s="1739"/>
      <c r="AZ92" s="1739"/>
      <c r="BA92" s="1739"/>
      <c r="BB92" s="1739"/>
      <c r="BC92" s="1739"/>
      <c r="BD92" s="1739"/>
      <c r="BE92" s="1739"/>
      <c r="BF92" s="1739"/>
    </row>
    <row r="93" spans="1:58" s="2238" customFormat="1" ht="11.25" customHeight="1">
      <c r="A93" s="1085"/>
      <c r="B93" s="1085"/>
      <c r="C93" s="1085"/>
      <c r="D93" s="1079"/>
      <c r="E93" s="1089"/>
      <c r="F93" s="1745"/>
      <c r="G93" s="1746"/>
      <c r="H93" s="1746"/>
      <c r="I93" s="1684"/>
      <c r="J93" s="1684"/>
      <c r="K93" s="1747"/>
      <c r="L93" s="1684"/>
      <c r="M93" s="1746"/>
      <c r="N93" s="2640"/>
      <c r="O93" s="2754"/>
      <c r="P93" s="2644"/>
      <c r="Q93" s="2597"/>
      <c r="R93" s="2597"/>
      <c r="S93" s="2645"/>
      <c r="T93" s="2597"/>
      <c r="U93" s="2597"/>
      <c r="V93" s="2597"/>
      <c r="W93" s="2597"/>
      <c r="X93" s="2597"/>
      <c r="Y93" s="2597"/>
      <c r="Z93" s="1094"/>
      <c r="AA93" s="1095"/>
      <c r="AB93" s="1160" t="s">
        <v>1040</v>
      </c>
      <c r="AC93" s="1099"/>
      <c r="AD93" s="1099"/>
      <c r="AE93" s="1099"/>
      <c r="AF93" s="1749"/>
      <c r="AG93" s="1677"/>
      <c r="AH93" s="1677"/>
      <c r="AI93" s="1749"/>
      <c r="AJ93" s="1677"/>
      <c r="AK93" s="1900"/>
      <c r="AL93" s="1901"/>
      <c r="AM93" s="1739"/>
      <c r="AN93" s="1739"/>
      <c r="AO93" s="1739"/>
      <c r="AP93" s="1739"/>
      <c r="AQ93" s="1739"/>
      <c r="AR93" s="1739"/>
      <c r="AS93" s="1739"/>
      <c r="AT93" s="1739"/>
      <c r="AU93" s="1739"/>
      <c r="AV93" s="1739"/>
      <c r="AW93" s="1739"/>
      <c r="AX93" s="1739"/>
      <c r="AY93" s="1739"/>
      <c r="AZ93" s="1739"/>
      <c r="BA93" s="1739"/>
      <c r="BB93" s="1739"/>
      <c r="BC93" s="1739"/>
      <c r="BD93" s="1739"/>
      <c r="BE93" s="1739"/>
      <c r="BF93" s="1739"/>
    </row>
    <row r="95" spans="1:58" s="2306" customFormat="1" ht="11.25" customHeight="1">
      <c r="A95" s="1733" t="s">
        <v>1951</v>
      </c>
    </row>
    <row r="97" spans="1:184" s="2238" customFormat="1" ht="11.25" customHeight="1">
      <c r="A97" s="1085"/>
      <c r="B97" s="1085"/>
      <c r="C97" s="1085"/>
      <c r="D97" s="1079"/>
      <c r="E97" s="1089"/>
      <c r="F97" s="1746"/>
      <c r="G97" s="1746"/>
      <c r="H97" s="1746"/>
      <c r="I97" s="1746"/>
      <c r="J97" s="1746"/>
      <c r="K97" s="1746"/>
      <c r="L97" s="1746"/>
      <c r="M97" s="1746"/>
      <c r="N97" s="1746"/>
      <c r="O97" s="1746"/>
      <c r="P97" s="1746"/>
      <c r="Q97" s="1746"/>
      <c r="R97" s="1746"/>
      <c r="S97" s="1746"/>
      <c r="T97" s="1746"/>
      <c r="U97" s="1746"/>
      <c r="V97" s="1746"/>
      <c r="W97" s="1746"/>
      <c r="X97" s="1746"/>
      <c r="Y97" s="1746"/>
      <c r="Z97" s="1750"/>
      <c r="AA97" s="1732">
        <v>1</v>
      </c>
      <c r="AB97" s="1098"/>
      <c r="AC97" s="1088"/>
      <c r="AD97" s="1098">
        <f>AB97</f>
        <v>0</v>
      </c>
      <c r="AE97" s="1088"/>
      <c r="AF97" s="1747"/>
      <c r="AG97" s="1677"/>
      <c r="AH97" s="1677"/>
      <c r="AI97" s="1747"/>
      <c r="AJ97" s="1677"/>
      <c r="AK97" s="1900"/>
      <c r="AL97" s="1901"/>
      <c r="AM97" s="1739"/>
      <c r="AN97" s="1739"/>
      <c r="AO97" s="1739"/>
      <c r="AP97" s="1739"/>
      <c r="AQ97" s="1739"/>
      <c r="AR97" s="1739"/>
      <c r="AS97" s="1739"/>
      <c r="AT97" s="1739"/>
      <c r="AU97" s="1739"/>
      <c r="AV97" s="1739"/>
      <c r="AW97" s="1739"/>
      <c r="AX97" s="1739"/>
      <c r="AY97" s="1739"/>
      <c r="AZ97" s="1739"/>
      <c r="BA97" s="1739"/>
      <c r="BB97" s="1739"/>
      <c r="BC97" s="1739"/>
      <c r="BD97" s="1739"/>
      <c r="BE97" s="1739"/>
      <c r="BF97" s="1739"/>
    </row>
    <row r="99" spans="1:184" s="2306" customFormat="1" ht="11.25" customHeight="1">
      <c r="A99" s="1733" t="s">
        <v>1952</v>
      </c>
    </row>
    <row r="101" spans="1:184" s="2238" customFormat="1" ht="11.25" customHeight="1">
      <c r="A101" s="1085"/>
      <c r="B101" s="1085"/>
      <c r="C101" s="1085"/>
      <c r="D101" s="1079"/>
      <c r="E101" s="1089"/>
      <c r="F101" s="1745"/>
      <c r="G101" s="1746"/>
      <c r="H101" s="2633" t="s">
        <v>108</v>
      </c>
      <c r="I101" s="2646"/>
      <c r="J101" s="2647"/>
      <c r="K101" s="2648"/>
      <c r="L101" s="2344" t="s">
        <v>19</v>
      </c>
      <c r="M101" s="2345"/>
      <c r="N101" s="1899"/>
      <c r="O101" s="1096" t="s">
        <v>374</v>
      </c>
      <c r="P101" s="1097"/>
      <c r="Q101" s="1097"/>
      <c r="R101" s="1097"/>
      <c r="S101" s="1097"/>
      <c r="T101" s="1097"/>
      <c r="U101" s="1097"/>
      <c r="V101" s="1097"/>
      <c r="W101" s="1097"/>
      <c r="X101" s="1097"/>
      <c r="Y101" s="1097"/>
      <c r="Z101" s="1097"/>
      <c r="AA101" s="1097"/>
      <c r="AB101" s="1097"/>
      <c r="AC101" s="1097"/>
      <c r="AD101" s="1097"/>
      <c r="AE101" s="1097"/>
      <c r="AF101" s="2638"/>
      <c r="AG101" s="2639"/>
      <c r="AH101" s="2639"/>
      <c r="AI101" s="2638"/>
      <c r="AJ101" s="2639"/>
      <c r="AK101" s="2639"/>
      <c r="AL101" s="1901"/>
      <c r="AM101" s="1739"/>
      <c r="AN101" s="1739"/>
      <c r="AO101" s="1739"/>
      <c r="AP101" s="1739"/>
      <c r="AQ101" s="1739"/>
      <c r="AR101" s="1739"/>
      <c r="AS101" s="1739"/>
      <c r="AT101" s="1739"/>
      <c r="AU101" s="1739"/>
      <c r="AV101" s="1739"/>
      <c r="AW101" s="1739"/>
      <c r="AX101" s="1739"/>
      <c r="AY101" s="1739"/>
      <c r="AZ101" s="1739"/>
      <c r="BA101" s="1739"/>
      <c r="BB101" s="1739"/>
      <c r="BC101" s="1739"/>
      <c r="BD101" s="1739"/>
      <c r="BE101" s="1739"/>
      <c r="BF101" s="1739"/>
    </row>
    <row r="102" spans="1:184" s="2238" customFormat="1" ht="11.25" customHeight="1">
      <c r="A102" s="1085"/>
      <c r="B102" s="1085"/>
      <c r="C102" s="1085"/>
      <c r="D102" s="1079"/>
      <c r="E102" s="1089"/>
      <c r="F102" s="1745"/>
      <c r="G102" s="1746"/>
      <c r="H102" s="2633"/>
      <c r="I102" s="2646"/>
      <c r="J102" s="2647"/>
      <c r="K102" s="2648"/>
      <c r="L102" s="2344"/>
      <c r="M102" s="2345"/>
      <c r="N102" s="2640"/>
      <c r="O102" s="2641">
        <v>1</v>
      </c>
      <c r="P102" s="2642" t="s">
        <v>19</v>
      </c>
      <c r="Q102" s="2597" t="s">
        <v>22</v>
      </c>
      <c r="R102" s="2597" t="s">
        <v>22</v>
      </c>
      <c r="S102" s="2597" t="s">
        <v>22</v>
      </c>
      <c r="T102" s="2597" t="s">
        <v>22</v>
      </c>
      <c r="U102" s="2597" t="s">
        <v>22</v>
      </c>
      <c r="V102" s="2597" t="s">
        <v>22</v>
      </c>
      <c r="W102" s="2597" t="s">
        <v>22</v>
      </c>
      <c r="X102" s="2597" t="s">
        <v>22</v>
      </c>
      <c r="Y102" s="2597"/>
      <c r="Z102" s="1094"/>
      <c r="AA102" s="1095"/>
      <c r="AB102" s="1095"/>
      <c r="AC102" s="1099"/>
      <c r="AD102" s="1099"/>
      <c r="AE102" s="1100"/>
      <c r="AF102" s="2638"/>
      <c r="AG102" s="2639"/>
      <c r="AH102" s="2639"/>
      <c r="AI102" s="2638"/>
      <c r="AJ102" s="2639"/>
      <c r="AK102" s="2639"/>
      <c r="AL102" s="1901"/>
      <c r="AM102" s="1739"/>
      <c r="AN102" s="1739"/>
      <c r="AO102" s="1739"/>
      <c r="AP102" s="1739"/>
      <c r="AQ102" s="1739"/>
      <c r="AR102" s="1739"/>
      <c r="AS102" s="1739"/>
      <c r="AT102" s="1739"/>
      <c r="AU102" s="1739"/>
      <c r="AV102" s="1739"/>
      <c r="AW102" s="1739"/>
      <c r="AX102" s="1739"/>
      <c r="AY102" s="1739"/>
      <c r="AZ102" s="1739"/>
      <c r="BA102" s="1739"/>
      <c r="BB102" s="1739"/>
      <c r="BC102" s="1739"/>
      <c r="BD102" s="1739"/>
      <c r="BE102" s="1739"/>
      <c r="BF102" s="1739"/>
    </row>
    <row r="103" spans="1:184" s="2238" customFormat="1" ht="11.25" customHeight="1">
      <c r="A103" s="1085"/>
      <c r="B103" s="1085"/>
      <c r="C103" s="1085"/>
      <c r="D103" s="1079"/>
      <c r="E103" s="1089"/>
      <c r="F103" s="1745"/>
      <c r="G103" s="1746"/>
      <c r="H103" s="2633"/>
      <c r="I103" s="2646"/>
      <c r="J103" s="2647"/>
      <c r="K103" s="2648"/>
      <c r="L103" s="2344"/>
      <c r="M103" s="2345"/>
      <c r="N103" s="2640"/>
      <c r="O103" s="2641"/>
      <c r="P103" s="2643"/>
      <c r="Q103" s="2597"/>
      <c r="R103" s="2597"/>
      <c r="S103" s="2645"/>
      <c r="T103" s="2597"/>
      <c r="U103" s="2597"/>
      <c r="V103" s="2597"/>
      <c r="W103" s="2597"/>
      <c r="X103" s="2597"/>
      <c r="Y103" s="2597"/>
      <c r="Z103" s="1744"/>
      <c r="AA103" s="1712">
        <v>1</v>
      </c>
      <c r="AB103" s="1098"/>
      <c r="AC103" s="1088"/>
      <c r="AD103" s="1098">
        <f>AB103</f>
        <v>0</v>
      </c>
      <c r="AE103" s="1088"/>
      <c r="AF103" s="2638"/>
      <c r="AG103" s="2639"/>
      <c r="AH103" s="2639"/>
      <c r="AI103" s="2638"/>
      <c r="AJ103" s="2639"/>
      <c r="AK103" s="2639"/>
      <c r="AL103" s="1901"/>
      <c r="AM103" s="1739"/>
      <c r="AN103" s="1739"/>
      <c r="AO103" s="1739"/>
      <c r="AP103" s="1739"/>
      <c r="AQ103" s="1739"/>
      <c r="AR103" s="1739"/>
      <c r="AS103" s="1739"/>
      <c r="AT103" s="1739"/>
      <c r="AU103" s="1739"/>
      <c r="AV103" s="1739"/>
      <c r="AW103" s="1739"/>
      <c r="AX103" s="1739"/>
      <c r="AY103" s="1739"/>
      <c r="AZ103" s="1739"/>
      <c r="BA103" s="1739"/>
      <c r="BB103" s="1739"/>
      <c r="BC103" s="1739"/>
      <c r="BD103" s="1739"/>
      <c r="BE103" s="1739"/>
      <c r="BF103" s="1739"/>
    </row>
    <row r="104" spans="1:184" s="2238" customFormat="1" ht="11.25" customHeight="1">
      <c r="A104" s="1085"/>
      <c r="B104" s="1085"/>
      <c r="C104" s="1085"/>
      <c r="D104" s="1079"/>
      <c r="E104" s="1089"/>
      <c r="F104" s="1745"/>
      <c r="G104" s="1746"/>
      <c r="H104" s="2633"/>
      <c r="I104" s="2646"/>
      <c r="J104" s="2647"/>
      <c r="K104" s="2648"/>
      <c r="L104" s="2344"/>
      <c r="M104" s="2345"/>
      <c r="N104" s="2640"/>
      <c r="O104" s="2641"/>
      <c r="P104" s="2644"/>
      <c r="Q104" s="2597"/>
      <c r="R104" s="2597"/>
      <c r="S104" s="2645"/>
      <c r="T104" s="2597"/>
      <c r="U104" s="2597"/>
      <c r="V104" s="2597"/>
      <c r="W104" s="2597"/>
      <c r="X104" s="2597"/>
      <c r="Y104" s="2597"/>
      <c r="Z104" s="1094"/>
      <c r="AA104" s="1095"/>
      <c r="AB104" s="1160" t="s">
        <v>1040</v>
      </c>
      <c r="AC104" s="1099"/>
      <c r="AD104" s="1099"/>
      <c r="AE104" s="1101"/>
      <c r="AF104" s="2638"/>
      <c r="AG104" s="2639"/>
      <c r="AH104" s="2639"/>
      <c r="AI104" s="2638"/>
      <c r="AJ104" s="2639"/>
      <c r="AK104" s="2639"/>
      <c r="AL104" s="1901"/>
      <c r="AM104" s="1739"/>
      <c r="AN104" s="1739"/>
      <c r="AO104" s="1739"/>
      <c r="AP104" s="1739"/>
      <c r="AQ104" s="1739"/>
      <c r="AR104" s="1739"/>
      <c r="AS104" s="1739"/>
      <c r="AT104" s="1739"/>
      <c r="AU104" s="1739"/>
      <c r="AV104" s="1739"/>
      <c r="AW104" s="1739"/>
      <c r="AX104" s="1739"/>
      <c r="AY104" s="1739"/>
      <c r="AZ104" s="1739"/>
      <c r="BA104" s="1739"/>
      <c r="BB104" s="1739"/>
      <c r="BC104" s="1739"/>
      <c r="BD104" s="1739"/>
      <c r="BE104" s="1739"/>
      <c r="BF104" s="1739"/>
    </row>
    <row r="105" spans="1:184" s="2238" customFormat="1" ht="11.25" customHeight="1">
      <c r="A105" s="1085"/>
      <c r="B105" s="1085"/>
      <c r="C105" s="1085"/>
      <c r="D105" s="1079"/>
      <c r="E105" s="1089"/>
      <c r="F105" s="1745"/>
      <c r="G105" s="1746"/>
      <c r="H105" s="2633"/>
      <c r="I105" s="2646"/>
      <c r="J105" s="2647"/>
      <c r="K105" s="2648"/>
      <c r="L105" s="2344"/>
      <c r="M105" s="2345"/>
      <c r="N105" s="1094"/>
      <c r="O105" s="1095"/>
      <c r="P105" s="1087" t="s">
        <v>1041</v>
      </c>
      <c r="Q105" s="1095"/>
      <c r="R105" s="1095"/>
      <c r="S105" s="1095"/>
      <c r="T105" s="1095"/>
      <c r="U105" s="1095"/>
      <c r="V105" s="1095"/>
      <c r="W105" s="1095"/>
      <c r="X105" s="1095"/>
      <c r="Y105" s="1095"/>
      <c r="Z105" s="1095"/>
      <c r="AA105" s="1095"/>
      <c r="AB105" s="1095"/>
      <c r="AC105" s="1095"/>
      <c r="AD105" s="1095"/>
      <c r="AE105" s="1102"/>
      <c r="AF105" s="2638"/>
      <c r="AG105" s="2639"/>
      <c r="AH105" s="2639"/>
      <c r="AI105" s="2638"/>
      <c r="AJ105" s="2639"/>
      <c r="AK105" s="2639"/>
      <c r="AL105" s="1901"/>
      <c r="AM105" s="1739"/>
      <c r="AN105" s="1739"/>
      <c r="AO105" s="1739"/>
      <c r="AP105" s="1739"/>
      <c r="AQ105" s="1739"/>
      <c r="AR105" s="1739"/>
      <c r="AS105" s="1739"/>
      <c r="AT105" s="1739"/>
      <c r="AU105" s="1739"/>
      <c r="AV105" s="1739"/>
      <c r="AW105" s="1739"/>
      <c r="AX105" s="1739"/>
      <c r="AY105" s="1739"/>
      <c r="AZ105" s="1739"/>
      <c r="BA105" s="1739"/>
      <c r="BB105" s="1739"/>
      <c r="BC105" s="1739"/>
      <c r="BD105" s="1739"/>
      <c r="BE105" s="1739"/>
      <c r="BF105" s="1739"/>
    </row>
    <row r="107" spans="1:184" s="2306" customFormat="1" ht="11.25" customHeight="1">
      <c r="A107" s="1733" t="s">
        <v>1953</v>
      </c>
    </row>
    <row r="108" spans="1:184" ht="17.25" customHeight="1"/>
    <row r="109" spans="1:184" s="2286" customFormat="1" ht="21" customHeight="1">
      <c r="A109" s="1086"/>
      <c r="B109" s="866"/>
      <c r="D109" s="850"/>
      <c r="E109" s="865" t="s">
        <v>22</v>
      </c>
      <c r="F109" s="1041" t="e">
        <f>INDEX(IP_MAIN_LIST_NAME_IP,MATCH(A109,IP_MAIN_LIST_IP_ID,0))&amp;" ("&amp;INDEX(IP_MAIN_START_DATE,MATCH(A109,IP_MAIN_LIST_IP_ID,0))&amp;"-"&amp;INDEX(IP_MAIN_END_DATE,MATCH(A109,IP_MAIN_LIST_IP_ID,0))&amp;")"</f>
        <v>#N/A</v>
      </c>
      <c r="G109" s="1122"/>
      <c r="H109" s="1123"/>
      <c r="I109" s="1123"/>
      <c r="J109" s="1123"/>
      <c r="K109" s="1123"/>
      <c r="L109" s="1123"/>
      <c r="M109" s="1123"/>
      <c r="N109" s="1123"/>
      <c r="O109" s="1122"/>
      <c r="P109" s="1122"/>
      <c r="Q109" s="1122"/>
      <c r="R109" s="1122"/>
      <c r="S109" s="1122"/>
      <c r="T109" s="1122"/>
      <c r="U109" s="1124"/>
      <c r="V109" s="1124"/>
      <c r="W109" s="1124"/>
      <c r="X109" s="1124"/>
      <c r="Y109" s="1124"/>
      <c r="Z109" s="1124"/>
      <c r="AA109" s="1124"/>
      <c r="AB109" s="1122"/>
      <c r="AC109" s="1123"/>
      <c r="AD109" s="1123"/>
      <c r="AE109" s="1123"/>
      <c r="AF109" s="1123"/>
      <c r="AG109" s="1123"/>
      <c r="AH109" s="1123"/>
      <c r="AI109" s="1123"/>
      <c r="AJ109" s="1123"/>
      <c r="AK109" s="1123"/>
      <c r="AL109" s="1123"/>
      <c r="AM109" s="1123"/>
      <c r="AN109" s="1123"/>
      <c r="AO109" s="1123"/>
      <c r="AP109" s="1123"/>
      <c r="AQ109" s="1123"/>
      <c r="AR109" s="1123"/>
      <c r="AS109" s="1123"/>
      <c r="AT109" s="1123"/>
      <c r="AU109" s="1123"/>
      <c r="AV109" s="1123"/>
      <c r="AW109" s="1123"/>
      <c r="AX109" s="1123"/>
      <c r="AY109" s="1123"/>
      <c r="AZ109" s="1123"/>
      <c r="BA109" s="1123"/>
      <c r="BB109" s="1123"/>
      <c r="BC109" s="1123"/>
      <c r="BD109" s="1123"/>
      <c r="BE109" s="1123"/>
      <c r="BF109" s="1123"/>
      <c r="BG109" s="1123"/>
      <c r="BH109" s="1123"/>
      <c r="BI109" s="1123"/>
      <c r="BJ109" s="1123"/>
      <c r="BK109" s="1123"/>
      <c r="BL109" s="1123"/>
      <c r="BM109" s="1123"/>
      <c r="BN109" s="1123"/>
      <c r="BO109" s="1123"/>
      <c r="BP109" s="1123"/>
      <c r="BQ109" s="1123"/>
      <c r="BR109" s="1123"/>
      <c r="BS109" s="1123"/>
      <c r="BT109" s="1123"/>
      <c r="BU109" s="1123"/>
      <c r="BV109" s="1123"/>
      <c r="BW109" s="1123"/>
      <c r="BX109" s="1123"/>
      <c r="BY109" s="1123"/>
      <c r="BZ109" s="1123"/>
      <c r="CA109" s="1123"/>
      <c r="CB109" s="1123"/>
      <c r="CC109" s="1123"/>
      <c r="CD109" s="1123"/>
      <c r="CE109" s="1123"/>
      <c r="CF109" s="1123"/>
      <c r="CG109" s="1123"/>
      <c r="CH109" s="1123"/>
      <c r="CI109" s="1123"/>
      <c r="CJ109" s="1123"/>
      <c r="CK109" s="1123"/>
      <c r="CL109" s="1125"/>
      <c r="CM109" s="1125"/>
      <c r="CN109" s="1125"/>
      <c r="CO109" s="1125"/>
      <c r="CP109" s="1125"/>
      <c r="CQ109" s="1125"/>
      <c r="CR109" s="1125"/>
      <c r="CS109" s="1125"/>
      <c r="CT109" s="1125"/>
      <c r="CU109" s="1125"/>
      <c r="CV109" s="1125"/>
      <c r="CW109" s="1125"/>
      <c r="CX109" s="1125"/>
      <c r="CY109" s="1125"/>
      <c r="CZ109" s="1125"/>
      <c r="DA109" s="1125"/>
      <c r="DB109" s="1125"/>
      <c r="DC109" s="1125"/>
      <c r="DD109" s="1125"/>
      <c r="DE109" s="1125"/>
      <c r="DF109" s="1125"/>
      <c r="DG109" s="1125"/>
      <c r="DH109" s="1125"/>
      <c r="DI109" s="1125"/>
      <c r="DJ109" s="1125"/>
      <c r="DK109" s="1125"/>
      <c r="DL109" s="1125"/>
      <c r="DM109" s="1125"/>
      <c r="DN109" s="1125"/>
      <c r="DO109" s="1125"/>
      <c r="DP109" s="1125"/>
      <c r="DQ109" s="1125"/>
      <c r="DR109" s="1125"/>
      <c r="DS109" s="1125"/>
      <c r="DT109" s="1125"/>
      <c r="DU109" s="1125"/>
      <c r="DV109" s="1125"/>
      <c r="DW109" s="1125"/>
      <c r="DX109" s="1125"/>
      <c r="DY109" s="1125"/>
      <c r="DZ109" s="1125"/>
      <c r="EA109" s="1125"/>
      <c r="EB109" s="1125"/>
      <c r="EC109" s="1125"/>
      <c r="ED109" s="1125"/>
      <c r="EE109" s="1125"/>
      <c r="EF109" s="1125"/>
      <c r="EG109" s="1125"/>
      <c r="EH109" s="1125"/>
      <c r="EI109" s="1125"/>
      <c r="EJ109" s="1125"/>
      <c r="EK109" s="1125"/>
      <c r="EL109" s="1125"/>
      <c r="EM109" s="1125"/>
      <c r="EN109" s="1125"/>
      <c r="EO109" s="1125"/>
      <c r="EP109" s="1125"/>
      <c r="EQ109" s="1125"/>
      <c r="ER109" s="1125"/>
      <c r="ES109" s="1125"/>
      <c r="ET109" s="1125"/>
      <c r="EU109" s="1125"/>
      <c r="EV109" s="1125"/>
      <c r="EW109" s="1125"/>
      <c r="EX109" s="1125"/>
      <c r="EY109" s="1125"/>
      <c r="EZ109" s="1125"/>
      <c r="FA109" s="1125"/>
      <c r="FB109" s="1125"/>
      <c r="FC109" s="1125"/>
      <c r="FD109" s="1125"/>
      <c r="FE109" s="1125"/>
      <c r="FF109" s="1125"/>
      <c r="FG109" s="1125"/>
      <c r="FH109" s="1125"/>
      <c r="FI109" s="1125"/>
      <c r="FJ109" s="1125"/>
      <c r="FK109" s="1125"/>
      <c r="FL109" s="1125"/>
      <c r="FM109" s="1125"/>
      <c r="FN109" s="1125"/>
      <c r="FO109" s="1125"/>
      <c r="FP109" s="1125"/>
      <c r="FQ109" s="1125"/>
      <c r="FR109" s="1125"/>
      <c r="FS109" s="1125"/>
      <c r="FT109" s="1125"/>
      <c r="FU109" s="1125"/>
      <c r="FV109" s="1126"/>
      <c r="FW109" s="1120"/>
      <c r="FX109" s="1121"/>
    </row>
    <row r="110" spans="1:184" s="2286" customFormat="1" ht="24.75" customHeight="1">
      <c r="B110" s="849"/>
      <c r="C110" s="850"/>
      <c r="D110" s="850"/>
      <c r="E110" s="1751"/>
      <c r="F110" s="1127">
        <v>1</v>
      </c>
      <c r="G110" s="1128"/>
      <c r="H110" s="1129"/>
      <c r="I110" s="1895"/>
      <c r="J110" s="1130"/>
      <c r="K110" s="1130"/>
      <c r="L110" s="1130"/>
      <c r="M110" s="1130"/>
      <c r="N110" s="1130"/>
      <c r="O110" s="1131"/>
      <c r="P110" s="1131"/>
      <c r="Q110" s="1131"/>
      <c r="R110" s="1131"/>
      <c r="S110" s="1131"/>
      <c r="T110" s="1131"/>
      <c r="U110" s="1131"/>
      <c r="V110" s="1131"/>
      <c r="W110" s="1131"/>
      <c r="X110" s="1131"/>
      <c r="Y110" s="1131"/>
      <c r="Z110" s="1131"/>
      <c r="AA110" s="1131"/>
      <c r="AB110" s="1131"/>
      <c r="AC110" s="1130"/>
      <c r="AD110" s="1130"/>
      <c r="AE110" s="1130"/>
      <c r="AF110" s="1130"/>
      <c r="AG110" s="1130"/>
      <c r="AH110" s="1130"/>
      <c r="AI110" s="1130"/>
      <c r="AJ110" s="1130"/>
      <c r="AK110" s="1130"/>
      <c r="AL110" s="1130"/>
      <c r="AM110" s="1130"/>
      <c r="AN110" s="1130"/>
      <c r="AO110" s="1130"/>
      <c r="AP110" s="1130"/>
      <c r="AQ110" s="1130"/>
      <c r="AR110" s="1130"/>
      <c r="AS110" s="1130"/>
      <c r="AT110" s="1130"/>
      <c r="AU110" s="1130"/>
      <c r="AV110" s="1130"/>
      <c r="AW110" s="1130"/>
      <c r="AX110" s="1130"/>
      <c r="AY110" s="1130"/>
      <c r="AZ110" s="1130"/>
      <c r="BA110" s="1130"/>
      <c r="BB110" s="1130"/>
      <c r="BC110" s="1130"/>
      <c r="BD110" s="1130"/>
      <c r="BE110" s="1130"/>
      <c r="BF110" s="1130"/>
      <c r="BG110" s="1130"/>
      <c r="BH110" s="1130"/>
      <c r="BI110" s="1130"/>
      <c r="BJ110" s="1130"/>
      <c r="BK110" s="1130"/>
      <c r="BL110" s="1130"/>
      <c r="BM110" s="1130"/>
      <c r="BN110" s="1130"/>
      <c r="BO110" s="1130"/>
      <c r="BP110" s="1130"/>
      <c r="BQ110" s="1130"/>
      <c r="BR110" s="1130"/>
      <c r="BS110" s="1130"/>
      <c r="BT110" s="1131"/>
      <c r="BU110" s="1131"/>
      <c r="BV110" s="1131"/>
      <c r="BW110" s="1131"/>
      <c r="BX110" s="1131"/>
      <c r="BY110" s="1131"/>
      <c r="BZ110" s="1131"/>
      <c r="CA110" s="1131"/>
      <c r="CB110" s="1131"/>
      <c r="CC110" s="1131"/>
      <c r="CD110" s="1131"/>
      <c r="CE110" s="1131"/>
      <c r="CF110" s="1131"/>
      <c r="CG110" s="1131"/>
      <c r="CH110" s="1131"/>
      <c r="CI110" s="1131"/>
      <c r="CJ110" s="1131"/>
      <c r="CK110" s="1131"/>
      <c r="CL110" s="1130"/>
      <c r="CM110" s="1130"/>
      <c r="CN110" s="1130"/>
      <c r="CO110" s="1130"/>
      <c r="CP110" s="1130"/>
      <c r="CQ110" s="1130"/>
      <c r="CR110" s="1130"/>
      <c r="CS110" s="1130"/>
      <c r="CT110" s="1130"/>
      <c r="CU110" s="1130"/>
      <c r="CV110" s="1130"/>
      <c r="CW110" s="1130"/>
      <c r="CX110" s="1130"/>
      <c r="CY110" s="1131"/>
      <c r="CZ110" s="1131"/>
      <c r="DA110" s="1131"/>
      <c r="DB110" s="1131"/>
      <c r="DC110" s="1131"/>
      <c r="DD110" s="1131"/>
      <c r="DE110" s="1131"/>
      <c r="DF110" s="1131"/>
      <c r="DG110" s="1131"/>
      <c r="DH110" s="1131"/>
      <c r="DI110" s="1131"/>
      <c r="DJ110" s="1131"/>
      <c r="DK110" s="1130"/>
      <c r="DL110" s="1130"/>
      <c r="DM110" s="1130"/>
      <c r="DN110" s="1130"/>
      <c r="DO110" s="1130"/>
      <c r="DP110" s="1130"/>
      <c r="DQ110" s="1130"/>
      <c r="DR110" s="1130"/>
      <c r="DS110" s="1130"/>
      <c r="DT110" s="1130"/>
      <c r="DU110" s="1130"/>
      <c r="DV110" s="1130"/>
      <c r="DW110" s="1130"/>
      <c r="DX110" s="1130"/>
      <c r="DY110" s="1130"/>
      <c r="DZ110" s="1130"/>
      <c r="EA110" s="1130"/>
      <c r="EB110" s="1130"/>
      <c r="EC110" s="1130"/>
      <c r="ED110" s="1130"/>
      <c r="EE110" s="1130"/>
      <c r="EF110" s="1130"/>
      <c r="EG110" s="1130"/>
      <c r="EH110" s="1130"/>
      <c r="EI110" s="1130"/>
      <c r="EJ110" s="1130"/>
      <c r="EK110" s="1130"/>
      <c r="EL110" s="1130"/>
      <c r="EM110" s="1130"/>
      <c r="EN110" s="1130"/>
      <c r="EO110" s="1130"/>
      <c r="EP110" s="1130"/>
      <c r="EQ110" s="1130"/>
      <c r="ER110" s="1130"/>
      <c r="ES110" s="1130"/>
      <c r="ET110" s="1130"/>
      <c r="EU110" s="1130"/>
      <c r="EV110" s="1130"/>
      <c r="EW110" s="1130"/>
      <c r="EX110" s="1130"/>
      <c r="EY110" s="1130"/>
      <c r="EZ110" s="1130"/>
      <c r="FA110" s="1130"/>
      <c r="FB110" s="1130"/>
      <c r="FC110" s="1130"/>
      <c r="FD110" s="1130"/>
      <c r="FE110" s="1130"/>
      <c r="FF110" s="1130"/>
      <c r="FG110" s="1130"/>
      <c r="FH110" s="1130"/>
      <c r="FI110" s="1130"/>
      <c r="FJ110" s="1130"/>
      <c r="FK110" s="1130"/>
      <c r="FL110" s="1130"/>
      <c r="FM110" s="1130"/>
      <c r="FN110" s="1130"/>
      <c r="FO110" s="1130"/>
      <c r="FP110" s="1130"/>
      <c r="FQ110" s="1130"/>
      <c r="FR110" s="1130"/>
      <c r="FS110" s="1130"/>
      <c r="FT110" s="1130"/>
      <c r="FU110" s="1130"/>
      <c r="FV110" s="1130"/>
      <c r="FW110" s="1130"/>
      <c r="FX110" s="1121"/>
    </row>
    <row r="111" spans="1:184" s="2286" customFormat="1" ht="12" customHeight="1">
      <c r="A111" s="850"/>
      <c r="B111" s="849"/>
      <c r="C111" s="850"/>
      <c r="D111" s="850"/>
      <c r="E111" s="850"/>
      <c r="F111" s="1132"/>
      <c r="G111" s="1718" t="s">
        <v>1151</v>
      </c>
      <c r="H111" s="1133"/>
      <c r="I111" s="1133"/>
      <c r="J111" s="1133"/>
      <c r="K111" s="1133"/>
      <c r="L111" s="1133"/>
      <c r="M111" s="1133"/>
      <c r="N111" s="1133"/>
      <c r="O111" s="1133"/>
      <c r="P111" s="1133"/>
      <c r="Q111" s="1133"/>
      <c r="R111" s="1133"/>
      <c r="S111" s="1133"/>
      <c r="T111" s="1133"/>
      <c r="U111" s="1133"/>
      <c r="V111" s="1133"/>
      <c r="W111" s="1133"/>
      <c r="X111" s="1133"/>
      <c r="Y111" s="1133"/>
      <c r="Z111" s="1133"/>
      <c r="AA111" s="1133"/>
      <c r="AB111" s="1133"/>
      <c r="AC111" s="1133"/>
      <c r="AD111" s="1133"/>
      <c r="AE111" s="1133"/>
      <c r="AF111" s="1133"/>
      <c r="AG111" s="1133"/>
      <c r="AH111" s="1133"/>
      <c r="AI111" s="1133"/>
      <c r="AJ111" s="1133"/>
      <c r="AK111" s="1133"/>
      <c r="AL111" s="1133"/>
      <c r="AM111" s="1133"/>
      <c r="AN111" s="1133"/>
      <c r="AO111" s="1133"/>
      <c r="AP111" s="1133"/>
      <c r="AQ111" s="1133"/>
      <c r="AR111" s="1133"/>
      <c r="AS111" s="1133"/>
      <c r="AT111" s="1133"/>
      <c r="AU111" s="1133"/>
      <c r="AV111" s="1133"/>
      <c r="AW111" s="1133"/>
      <c r="AX111" s="1133"/>
      <c r="AY111" s="1133"/>
      <c r="AZ111" s="1133"/>
      <c r="BA111" s="1133"/>
      <c r="BB111" s="1133"/>
      <c r="BC111" s="1133"/>
      <c r="BD111" s="1133"/>
      <c r="BE111" s="1133"/>
      <c r="BF111" s="1133"/>
      <c r="BG111" s="1133"/>
      <c r="BH111" s="1133"/>
      <c r="BI111" s="1133"/>
      <c r="BJ111" s="1133"/>
      <c r="BK111" s="1133"/>
      <c r="BL111" s="1133"/>
      <c r="BM111" s="1133"/>
      <c r="BN111" s="1133"/>
      <c r="BO111" s="1133"/>
      <c r="BP111" s="1133"/>
      <c r="BQ111" s="1133"/>
      <c r="BR111" s="1133"/>
      <c r="BS111" s="1133"/>
      <c r="BT111" s="1133"/>
      <c r="BU111" s="1133"/>
      <c r="BV111" s="1133"/>
      <c r="BW111" s="1133"/>
      <c r="BX111" s="1133"/>
      <c r="BY111" s="1133"/>
      <c r="BZ111" s="1133"/>
      <c r="CA111" s="1133"/>
      <c r="CB111" s="1133"/>
      <c r="CC111" s="1133"/>
      <c r="CD111" s="1133"/>
      <c r="CE111" s="1133"/>
      <c r="CF111" s="1133"/>
      <c r="CG111" s="1133"/>
      <c r="CH111" s="1133"/>
      <c r="CI111" s="1133"/>
      <c r="CJ111" s="1133"/>
      <c r="CK111" s="1133"/>
      <c r="CL111" s="1133"/>
      <c r="CM111" s="1133"/>
      <c r="CN111" s="1133"/>
      <c r="CO111" s="1133"/>
      <c r="CP111" s="1133"/>
      <c r="CQ111" s="1133"/>
      <c r="CR111" s="1133"/>
      <c r="CS111" s="1133"/>
      <c r="CT111" s="1133"/>
      <c r="CU111" s="1133"/>
      <c r="CV111" s="1133"/>
      <c r="CW111" s="1133"/>
      <c r="CX111" s="1133"/>
      <c r="CY111" s="1133"/>
      <c r="CZ111" s="1133"/>
      <c r="DA111" s="1133"/>
      <c r="DB111" s="1133"/>
      <c r="DC111" s="1133"/>
      <c r="DD111" s="1133"/>
      <c r="DE111" s="1133"/>
      <c r="DF111" s="1133"/>
      <c r="DG111" s="1133"/>
      <c r="DH111" s="1133"/>
      <c r="DI111" s="1133"/>
      <c r="DJ111" s="1133"/>
      <c r="DK111" s="1133"/>
      <c r="DL111" s="1133"/>
      <c r="DM111" s="1133"/>
      <c r="DN111" s="1133"/>
      <c r="DO111" s="1133"/>
      <c r="DP111" s="1133"/>
      <c r="DQ111" s="1133"/>
      <c r="DR111" s="1133"/>
      <c r="DS111" s="1133"/>
      <c r="DT111" s="1133"/>
      <c r="DU111" s="1133"/>
      <c r="DV111" s="1133"/>
      <c r="DW111" s="1133"/>
      <c r="DX111" s="1133"/>
      <c r="DY111" s="1133"/>
      <c r="DZ111" s="1133"/>
      <c r="EA111" s="1133"/>
      <c r="EB111" s="1133"/>
      <c r="EC111" s="1133"/>
      <c r="ED111" s="1133"/>
      <c r="EE111" s="1133"/>
      <c r="EF111" s="1133"/>
      <c r="EG111" s="1133"/>
      <c r="EH111" s="1133"/>
      <c r="EI111" s="1133"/>
      <c r="EJ111" s="1133"/>
      <c r="EK111" s="1133"/>
      <c r="EL111" s="1133"/>
      <c r="EM111" s="1133"/>
      <c r="EN111" s="1133"/>
      <c r="EO111" s="1133"/>
      <c r="EP111" s="1133"/>
      <c r="EQ111" s="1133"/>
      <c r="ER111" s="1133"/>
      <c r="ES111" s="1133"/>
      <c r="ET111" s="1133"/>
      <c r="EU111" s="1133"/>
      <c r="EV111" s="1133"/>
      <c r="EW111" s="1133"/>
      <c r="EX111" s="1133"/>
      <c r="EY111" s="1133"/>
      <c r="EZ111" s="1133"/>
      <c r="FA111" s="1133"/>
      <c r="FB111" s="1133"/>
      <c r="FC111" s="1133"/>
      <c r="FD111" s="1133"/>
      <c r="FE111" s="1133"/>
      <c r="FF111" s="1133"/>
      <c r="FG111" s="1133"/>
      <c r="FH111" s="1133"/>
      <c r="FI111" s="1133"/>
      <c r="FJ111" s="1133"/>
      <c r="FK111" s="1133"/>
      <c r="FL111" s="1133"/>
      <c r="FM111" s="1133"/>
      <c r="FN111" s="1133"/>
      <c r="FO111" s="1133"/>
      <c r="FP111" s="1133"/>
      <c r="FQ111" s="1133"/>
      <c r="FR111" s="1133"/>
      <c r="FS111" s="1133"/>
      <c r="FT111" s="1133"/>
      <c r="FU111" s="1133"/>
      <c r="FV111" s="1133"/>
      <c r="FW111" s="1134"/>
      <c r="FX111" s="1135"/>
      <c r="FY111" s="867"/>
      <c r="FZ111" s="867"/>
      <c r="GA111" s="867"/>
      <c r="GB111" s="867"/>
    </row>
    <row r="113" spans="1:83" s="2306" customFormat="1" ht="11.25" customHeight="1">
      <c r="A113" s="1733" t="s">
        <v>1954</v>
      </c>
    </row>
    <row r="115" spans="1:83" s="2248" customFormat="1" ht="15" customHeight="1">
      <c r="A115" s="560"/>
      <c r="B115" s="561"/>
      <c r="C115" s="561"/>
      <c r="D115" s="2751" t="s">
        <v>108</v>
      </c>
      <c r="E115" s="2574" t="s">
        <v>104</v>
      </c>
      <c r="F115" s="2575"/>
      <c r="G115" s="2576"/>
      <c r="H115" s="2580" t="str">
        <f>IF(A115="","",INDEX(DIFFERENTIATION_UNMERGE_VD,MATCH(A115,DIFFERENTIATION_ID_DIFF,0)))</f>
        <v/>
      </c>
      <c r="I115" s="2580"/>
      <c r="J115" s="2580"/>
      <c r="K115" s="2580"/>
      <c r="L115" s="2580"/>
      <c r="M115" s="2580"/>
      <c r="N115" s="2580"/>
      <c r="O115" s="2580"/>
      <c r="P115" s="2580"/>
      <c r="Q115" s="2580"/>
      <c r="R115" s="2580"/>
      <c r="S115" s="656"/>
      <c r="T115" s="653"/>
      <c r="U115" s="562"/>
      <c r="V115" s="562"/>
      <c r="W115" s="563"/>
      <c r="X115" s="563"/>
      <c r="Y115" s="563"/>
      <c r="Z115" s="563"/>
      <c r="AA115" s="564"/>
      <c r="AB115" s="565"/>
      <c r="AC115" s="2572"/>
      <c r="AD115" s="566"/>
      <c r="AE115" s="567" t="s">
        <v>22</v>
      </c>
      <c r="AF115" s="567"/>
      <c r="AG115" s="568" t="s">
        <v>610</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2248" customFormat="1" ht="15" customHeight="1">
      <c r="A116" s="560"/>
      <c r="B116" s="561"/>
      <c r="C116" s="561"/>
      <c r="D116" s="2752"/>
      <c r="E116" s="2574" t="s">
        <v>562</v>
      </c>
      <c r="F116" s="2575"/>
      <c r="G116" s="2576"/>
      <c r="H116" s="2580" t="str">
        <f>IF(A115="","",INDEX(DIFFERENTIATION_UNMERGE_AREA,MATCH(A115,DIFFERENTIATION_ID_DIFF,0)))</f>
        <v/>
      </c>
      <c r="I116" s="2580"/>
      <c r="J116" s="2580"/>
      <c r="K116" s="2580"/>
      <c r="L116" s="2580"/>
      <c r="M116" s="2580"/>
      <c r="N116" s="2580"/>
      <c r="O116" s="2580"/>
      <c r="P116" s="2580"/>
      <c r="Q116" s="2580"/>
      <c r="R116" s="2580"/>
      <c r="S116" s="656"/>
      <c r="T116" s="653"/>
      <c r="U116" s="562"/>
      <c r="V116" s="562"/>
      <c r="W116" s="563"/>
      <c r="X116" s="563"/>
      <c r="Y116" s="563"/>
      <c r="Z116" s="563"/>
      <c r="AA116" s="564"/>
      <c r="AB116" s="565"/>
      <c r="AC116" s="2572"/>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2248" customFormat="1" ht="15" customHeight="1">
      <c r="A117" s="560"/>
      <c r="B117" s="561"/>
      <c r="C117" s="561"/>
      <c r="D117" s="2752"/>
      <c r="E117" s="2574" t="s">
        <v>563</v>
      </c>
      <c r="F117" s="2575"/>
      <c r="G117" s="2576"/>
      <c r="H117" s="2580" t="str">
        <f>IF(A115="","",INDEX(DIFFERENTIATION_UNMERGE_SYSTEM,MATCH(A115,DIFFERENTIATION_ID_DIFF,0)))</f>
        <v/>
      </c>
      <c r="I117" s="2580"/>
      <c r="J117" s="2580"/>
      <c r="K117" s="2580"/>
      <c r="L117" s="2580"/>
      <c r="M117" s="2580"/>
      <c r="N117" s="2580"/>
      <c r="O117" s="2580"/>
      <c r="P117" s="2580"/>
      <c r="Q117" s="2580"/>
      <c r="R117" s="2580"/>
      <c r="S117" s="656"/>
      <c r="T117" s="653"/>
      <c r="U117" s="562"/>
      <c r="V117" s="562"/>
      <c r="W117" s="563"/>
      <c r="X117" s="563"/>
      <c r="Y117" s="563"/>
      <c r="Z117" s="563"/>
      <c r="AA117" s="564"/>
      <c r="AB117" s="565"/>
      <c r="AC117" s="2572"/>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2248" customFormat="1" ht="24.75" customHeight="1">
      <c r="A118" s="1724"/>
      <c r="B118" s="1079"/>
      <c r="C118" s="349"/>
      <c r="D118" s="2752"/>
      <c r="E118" s="2573" t="s">
        <v>611</v>
      </c>
      <c r="F118" s="2573"/>
      <c r="G118" s="2573"/>
      <c r="H118" s="2573"/>
      <c r="I118" s="2573"/>
      <c r="J118" s="2573"/>
      <c r="K118" s="2573"/>
      <c r="L118" s="2573"/>
      <c r="M118" s="2573"/>
      <c r="N118" s="2573"/>
      <c r="O118" s="2573"/>
      <c r="P118" s="2573"/>
      <c r="Q118" s="495">
        <f>SUMIF(T119:T120,"i",Q119:Q120)</f>
        <v>0</v>
      </c>
      <c r="R118" s="941"/>
      <c r="S118" s="1716" t="s">
        <v>612</v>
      </c>
      <c r="T118" s="654" t="s">
        <v>613</v>
      </c>
      <c r="U118" s="2482">
        <v>1</v>
      </c>
      <c r="V118" s="2482" t="s">
        <v>573</v>
      </c>
      <c r="W118" s="1079"/>
      <c r="X118" s="1079"/>
      <c r="Y118" s="1079"/>
      <c r="Z118" s="1079"/>
      <c r="AA118" s="1555"/>
      <c r="AB118" s="1079"/>
      <c r="AC118" s="2572"/>
      <c r="AD118" s="566"/>
      <c r="AE118" s="1079"/>
      <c r="AF118" s="1079"/>
      <c r="AG118" s="1555"/>
      <c r="AH118" s="1555"/>
      <c r="AI118" s="1555"/>
      <c r="AJ118" s="1555"/>
      <c r="AK118" s="1555"/>
      <c r="AL118" s="1555"/>
      <c r="AM118" s="1555"/>
      <c r="AN118" s="1555"/>
      <c r="AO118" s="1555"/>
      <c r="AP118" s="1555"/>
      <c r="AQ118" s="1555"/>
      <c r="AR118" s="1555"/>
      <c r="AS118" s="1555"/>
      <c r="AT118" s="1555"/>
      <c r="AU118" s="1555"/>
      <c r="AV118" s="1555"/>
      <c r="AW118" s="1555"/>
      <c r="AX118" s="1555"/>
      <c r="AY118" s="1555"/>
      <c r="AZ118" s="1555"/>
      <c r="BA118" s="1555"/>
      <c r="BB118" s="1555"/>
      <c r="BC118" s="1555"/>
      <c r="BD118" s="1555"/>
      <c r="BE118" s="1555"/>
      <c r="BF118" s="1555"/>
      <c r="BG118" s="1555"/>
      <c r="BH118" s="1555"/>
      <c r="BI118" s="1555"/>
      <c r="BJ118" s="1555"/>
      <c r="BK118" s="1555"/>
      <c r="BL118" s="1555"/>
      <c r="BM118" s="1555"/>
      <c r="BN118" s="1555"/>
      <c r="BO118" s="1555"/>
      <c r="BP118" s="1555"/>
      <c r="BQ118" s="1555"/>
      <c r="BR118" s="1555"/>
      <c r="BS118" s="1555"/>
      <c r="BT118" s="1555"/>
      <c r="BU118" s="1555"/>
      <c r="BV118" s="1079"/>
      <c r="BW118" s="1079"/>
      <c r="BX118" s="1079"/>
      <c r="BY118" s="1079"/>
      <c r="BZ118" s="1079"/>
      <c r="CA118" s="1079"/>
      <c r="CB118" s="1079"/>
      <c r="CC118" s="1079"/>
      <c r="CD118" s="1079"/>
      <c r="CE118" s="1079"/>
    </row>
    <row r="119" spans="1:83" s="2248" customFormat="1" ht="11.25" hidden="1" customHeight="1">
      <c r="A119" s="1711"/>
      <c r="B119" s="1555"/>
      <c r="C119" s="1555"/>
      <c r="D119" s="2752"/>
      <c r="E119" s="572"/>
      <c r="F119" s="572">
        <v>0</v>
      </c>
      <c r="G119" s="572"/>
      <c r="H119" s="572"/>
      <c r="I119" s="572"/>
      <c r="J119" s="572"/>
      <c r="K119" s="572"/>
      <c r="L119" s="572"/>
      <c r="M119" s="572"/>
      <c r="N119" s="572"/>
      <c r="O119" s="572"/>
      <c r="P119" s="572"/>
      <c r="Q119" s="572"/>
      <c r="R119" s="572"/>
      <c r="S119" s="573"/>
      <c r="T119" s="655"/>
      <c r="U119" s="2482"/>
      <c r="V119" s="2482"/>
      <c r="W119" s="1555"/>
      <c r="X119" s="1555"/>
      <c r="Y119" s="1555"/>
      <c r="Z119" s="1555"/>
      <c r="AA119" s="1555"/>
      <c r="AB119" s="1079"/>
      <c r="AC119" s="2572"/>
      <c r="AD119" s="566"/>
      <c r="AE119" s="1079"/>
      <c r="AF119" s="1079"/>
      <c r="AG119" s="1555"/>
      <c r="AH119" s="1555"/>
      <c r="AI119" s="1555"/>
      <c r="AJ119" s="1555"/>
      <c r="AK119" s="1555"/>
      <c r="AL119" s="1555"/>
      <c r="AM119" s="1555"/>
      <c r="AN119" s="1555"/>
      <c r="AO119" s="1555"/>
      <c r="AP119" s="1555"/>
      <c r="AQ119" s="1555"/>
      <c r="AR119" s="1555"/>
      <c r="AS119" s="1555"/>
      <c r="AT119" s="1555"/>
      <c r="AU119" s="1555"/>
      <c r="AV119" s="1555"/>
      <c r="AW119" s="1555"/>
      <c r="AX119" s="1555"/>
      <c r="AY119" s="1555"/>
      <c r="AZ119" s="1555"/>
      <c r="BA119" s="1555"/>
      <c r="BB119" s="1555"/>
      <c r="BC119" s="1555"/>
      <c r="BD119" s="1555"/>
      <c r="BE119" s="1555"/>
      <c r="BF119" s="1555"/>
      <c r="BG119" s="1555"/>
      <c r="BH119" s="1555"/>
      <c r="BI119" s="1555"/>
      <c r="BJ119" s="1555"/>
      <c r="BK119" s="1555"/>
      <c r="BL119" s="1555"/>
      <c r="BM119" s="1555"/>
      <c r="BN119" s="1555"/>
      <c r="BO119" s="1555"/>
      <c r="BP119" s="1555"/>
      <c r="BQ119" s="1555"/>
      <c r="BR119" s="1555"/>
      <c r="BS119" s="1555"/>
      <c r="BT119" s="1555"/>
      <c r="BU119" s="1555"/>
      <c r="BV119" s="1555"/>
      <c r="BW119" s="1555"/>
      <c r="BX119" s="1555"/>
      <c r="BY119" s="1555"/>
      <c r="BZ119" s="1555"/>
      <c r="CA119" s="1555"/>
      <c r="CB119" s="1555"/>
      <c r="CC119" s="1555"/>
      <c r="CD119" s="1555"/>
      <c r="CE119" s="1555"/>
    </row>
    <row r="120" spans="1:83" s="2248" customFormat="1" ht="11.25" customHeight="1">
      <c r="A120" s="1724"/>
      <c r="B120" s="1079"/>
      <c r="C120" s="349"/>
      <c r="D120" s="2752"/>
      <c r="E120" s="586" t="s">
        <v>22</v>
      </c>
      <c r="F120" s="1087" t="s">
        <v>22</v>
      </c>
      <c r="G120" s="1087" t="s">
        <v>1955</v>
      </c>
      <c r="H120" s="588" t="s">
        <v>22</v>
      </c>
      <c r="I120" s="588"/>
      <c r="J120" s="588"/>
      <c r="K120" s="588"/>
      <c r="L120" s="588"/>
      <c r="M120" s="588"/>
      <c r="N120" s="588"/>
      <c r="O120" s="588"/>
      <c r="P120" s="588"/>
      <c r="Q120" s="588"/>
      <c r="R120" s="589"/>
      <c r="S120" s="590"/>
      <c r="T120" s="655"/>
      <c r="U120" s="2482"/>
      <c r="V120" s="2482"/>
      <c r="W120" s="1079"/>
      <c r="X120" s="1079"/>
      <c r="Y120" s="1079"/>
      <c r="Z120" s="1079"/>
      <c r="AA120" s="1555"/>
      <c r="AB120" s="1079"/>
      <c r="AC120" s="2572"/>
      <c r="AD120" s="566"/>
      <c r="AE120" s="1079"/>
      <c r="AF120" s="1079"/>
      <c r="AG120" s="1555"/>
      <c r="AH120" s="1555"/>
      <c r="AI120" s="1555"/>
      <c r="AJ120" s="1555"/>
      <c r="AK120" s="1555"/>
      <c r="AL120" s="1555"/>
      <c r="AM120" s="1555"/>
      <c r="AN120" s="1555"/>
      <c r="AO120" s="1555"/>
      <c r="AP120" s="1555"/>
      <c r="AQ120" s="1555"/>
      <c r="AR120" s="1555"/>
      <c r="AS120" s="1555"/>
      <c r="AT120" s="1555"/>
      <c r="AU120" s="1555"/>
      <c r="AV120" s="1555"/>
      <c r="AW120" s="1555"/>
      <c r="AX120" s="1555"/>
      <c r="AY120" s="1555"/>
      <c r="AZ120" s="1555"/>
      <c r="BA120" s="1555"/>
      <c r="BB120" s="1555"/>
      <c r="BC120" s="1555"/>
      <c r="BD120" s="1555"/>
      <c r="BE120" s="1555"/>
      <c r="BF120" s="1555"/>
      <c r="BG120" s="1555"/>
      <c r="BH120" s="1555"/>
      <c r="BI120" s="1555"/>
      <c r="BJ120" s="1555"/>
      <c r="BK120" s="1555"/>
      <c r="BL120" s="1555"/>
      <c r="BM120" s="1555"/>
      <c r="BN120" s="1555"/>
      <c r="BO120" s="1555"/>
      <c r="BP120" s="1555"/>
      <c r="BQ120" s="1555"/>
      <c r="BR120" s="1555"/>
      <c r="BS120" s="1555"/>
      <c r="BT120" s="1555"/>
      <c r="BU120" s="1555"/>
      <c r="BV120" s="1079"/>
      <c r="BW120" s="1079"/>
      <c r="BX120" s="1079"/>
      <c r="BY120" s="1079"/>
      <c r="BZ120" s="1079"/>
      <c r="CA120" s="1079"/>
      <c r="CB120" s="1079"/>
      <c r="CC120" s="1079"/>
      <c r="CD120" s="1079"/>
      <c r="CE120" s="1079"/>
    </row>
    <row r="121" spans="1:83" s="2248" customFormat="1" ht="24.75" customHeight="1">
      <c r="A121" s="1724"/>
      <c r="B121" s="1079"/>
      <c r="C121" s="349"/>
      <c r="D121" s="2752"/>
      <c r="E121" s="2573" t="s">
        <v>614</v>
      </c>
      <c r="F121" s="2573"/>
      <c r="G121" s="2573"/>
      <c r="H121" s="2573"/>
      <c r="I121" s="2573"/>
      <c r="J121" s="2573"/>
      <c r="K121" s="2573"/>
      <c r="L121" s="2573"/>
      <c r="M121" s="2573"/>
      <c r="N121" s="2573"/>
      <c r="O121" s="2573"/>
      <c r="P121" s="2573"/>
      <c r="Q121" s="495">
        <f>SUMIF(T122:T123,"i",Q122:Q123)</f>
        <v>0</v>
      </c>
      <c r="R121" s="941"/>
      <c r="S121" s="1716" t="s">
        <v>615</v>
      </c>
      <c r="T121" s="654" t="s">
        <v>613</v>
      </c>
      <c r="U121" s="2482">
        <v>1</v>
      </c>
      <c r="V121" s="2482" t="s">
        <v>573</v>
      </c>
      <c r="W121" s="1079"/>
      <c r="X121" s="1079"/>
      <c r="Y121" s="1079"/>
      <c r="Z121" s="1079"/>
      <c r="AA121" s="1555"/>
      <c r="AB121" s="1079"/>
      <c r="AC121" s="1714"/>
      <c r="AD121" s="566"/>
      <c r="AE121" s="1079"/>
      <c r="AF121" s="1079"/>
      <c r="AG121" s="1555"/>
      <c r="AH121" s="1555"/>
      <c r="AI121" s="1555"/>
      <c r="AJ121" s="1555"/>
      <c r="AK121" s="1555"/>
      <c r="AL121" s="1555"/>
      <c r="AM121" s="1555"/>
      <c r="AN121" s="1555"/>
      <c r="AO121" s="1555"/>
      <c r="AP121" s="1555"/>
      <c r="AQ121" s="1555"/>
      <c r="AR121" s="1555"/>
      <c r="AS121" s="1555"/>
      <c r="AT121" s="1555"/>
      <c r="AU121" s="1555"/>
      <c r="AV121" s="1555"/>
      <c r="AW121" s="1555"/>
      <c r="AX121" s="1555"/>
      <c r="AY121" s="1555"/>
      <c r="AZ121" s="1555"/>
      <c r="BA121" s="1555"/>
      <c r="BB121" s="1555"/>
      <c r="BC121" s="1555"/>
      <c r="BD121" s="1555"/>
      <c r="BE121" s="1555"/>
      <c r="BF121" s="1555"/>
      <c r="BG121" s="1555"/>
      <c r="BH121" s="1555"/>
      <c r="BI121" s="1555"/>
      <c r="BJ121" s="1555"/>
      <c r="BK121" s="1555"/>
      <c r="BL121" s="1555"/>
      <c r="BM121" s="1555"/>
      <c r="BN121" s="1555"/>
      <c r="BO121" s="1555"/>
      <c r="BP121" s="1555"/>
      <c r="BQ121" s="1555"/>
      <c r="BR121" s="1555"/>
      <c r="BS121" s="1555"/>
      <c r="BT121" s="1555"/>
      <c r="BU121" s="1555"/>
      <c r="BV121" s="1079"/>
      <c r="BW121" s="1079"/>
      <c r="BX121" s="1079"/>
      <c r="BY121" s="1079"/>
      <c r="BZ121" s="1079"/>
      <c r="CA121" s="1079"/>
      <c r="CB121" s="1079"/>
      <c r="CC121" s="1079"/>
      <c r="CD121" s="1079"/>
      <c r="CE121" s="1079"/>
    </row>
    <row r="122" spans="1:83" s="2248" customFormat="1" ht="11.25" hidden="1" customHeight="1">
      <c r="A122" s="1711"/>
      <c r="B122" s="1555"/>
      <c r="C122" s="1555"/>
      <c r="D122" s="2752"/>
      <c r="E122" s="572"/>
      <c r="F122" s="572">
        <v>0</v>
      </c>
      <c r="G122" s="572"/>
      <c r="H122" s="572"/>
      <c r="I122" s="572"/>
      <c r="J122" s="572"/>
      <c r="K122" s="572"/>
      <c r="L122" s="572"/>
      <c r="M122" s="572"/>
      <c r="N122" s="572"/>
      <c r="O122" s="572"/>
      <c r="P122" s="572"/>
      <c r="Q122" s="572"/>
      <c r="R122" s="572"/>
      <c r="S122" s="573"/>
      <c r="T122" s="655"/>
      <c r="U122" s="2482"/>
      <c r="V122" s="2482"/>
      <c r="W122" s="1555"/>
      <c r="X122" s="1555"/>
      <c r="Y122" s="1555"/>
      <c r="Z122" s="1555"/>
      <c r="AA122" s="1555"/>
      <c r="AB122" s="1079"/>
      <c r="AC122" s="1714"/>
      <c r="AD122" s="566"/>
      <c r="AE122" s="1079"/>
      <c r="AF122" s="1079"/>
      <c r="AG122" s="1555"/>
      <c r="AH122" s="1555"/>
      <c r="AI122" s="1555"/>
      <c r="AJ122" s="1555"/>
      <c r="AK122" s="1555"/>
      <c r="AL122" s="1555"/>
      <c r="AM122" s="1555"/>
      <c r="AN122" s="1555"/>
      <c r="AO122" s="1555"/>
      <c r="AP122" s="1555"/>
      <c r="AQ122" s="1555"/>
      <c r="AR122" s="1555"/>
      <c r="AS122" s="1555"/>
      <c r="AT122" s="1555"/>
      <c r="AU122" s="1555"/>
      <c r="AV122" s="1555"/>
      <c r="AW122" s="1555"/>
      <c r="AX122" s="1555"/>
      <c r="AY122" s="1555"/>
      <c r="AZ122" s="1555"/>
      <c r="BA122" s="1555"/>
      <c r="BB122" s="1555"/>
      <c r="BC122" s="1555"/>
      <c r="BD122" s="1555"/>
      <c r="BE122" s="1555"/>
      <c r="BF122" s="1555"/>
      <c r="BG122" s="1555"/>
      <c r="BH122" s="1555"/>
      <c r="BI122" s="1555"/>
      <c r="BJ122" s="1555"/>
      <c r="BK122" s="1555"/>
      <c r="BL122" s="1555"/>
      <c r="BM122" s="1555"/>
      <c r="BN122" s="1555"/>
      <c r="BO122" s="1555"/>
      <c r="BP122" s="1555"/>
      <c r="BQ122" s="1555"/>
      <c r="BR122" s="1555"/>
      <c r="BS122" s="1555"/>
      <c r="BT122" s="1555"/>
      <c r="BU122" s="1555"/>
      <c r="BV122" s="1555"/>
      <c r="BW122" s="1555"/>
      <c r="BX122" s="1555"/>
      <c r="BY122" s="1555"/>
      <c r="BZ122" s="1555"/>
      <c r="CA122" s="1555"/>
      <c r="CB122" s="1555"/>
      <c r="CC122" s="1555"/>
      <c r="CD122" s="1555"/>
      <c r="CE122" s="1555"/>
    </row>
    <row r="123" spans="1:83" s="2248" customFormat="1" ht="11.25" customHeight="1">
      <c r="A123" s="1724"/>
      <c r="B123" s="1079"/>
      <c r="C123" s="349"/>
      <c r="D123" s="2753"/>
      <c r="E123" s="586" t="s">
        <v>22</v>
      </c>
      <c r="F123" s="1087" t="s">
        <v>22</v>
      </c>
      <c r="G123" s="1087" t="s">
        <v>1955</v>
      </c>
      <c r="H123" s="588" t="s">
        <v>22</v>
      </c>
      <c r="I123" s="588"/>
      <c r="J123" s="588"/>
      <c r="K123" s="588"/>
      <c r="L123" s="588"/>
      <c r="M123" s="588"/>
      <c r="N123" s="588"/>
      <c r="O123" s="588"/>
      <c r="P123" s="588"/>
      <c r="Q123" s="588"/>
      <c r="R123" s="589"/>
      <c r="S123" s="590"/>
      <c r="T123" s="655"/>
      <c r="U123" s="2482"/>
      <c r="V123" s="2482"/>
      <c r="W123" s="1079"/>
      <c r="X123" s="1079"/>
      <c r="Y123" s="1079"/>
      <c r="Z123" s="1079"/>
      <c r="AA123" s="1555"/>
      <c r="AB123" s="1079"/>
      <c r="AC123" s="1714"/>
      <c r="AD123" s="566"/>
      <c r="AE123" s="1079"/>
      <c r="AF123" s="1079"/>
      <c r="AG123" s="1555"/>
      <c r="AH123" s="1555"/>
      <c r="AI123" s="1555"/>
      <c r="AJ123" s="1555"/>
      <c r="AK123" s="1555"/>
      <c r="AL123" s="1555"/>
      <c r="AM123" s="1555"/>
      <c r="AN123" s="1555"/>
      <c r="AO123" s="1555"/>
      <c r="AP123" s="1555"/>
      <c r="AQ123" s="1555"/>
      <c r="AR123" s="1555"/>
      <c r="AS123" s="1555"/>
      <c r="AT123" s="1555"/>
      <c r="AU123" s="1555"/>
      <c r="AV123" s="1555"/>
      <c r="AW123" s="1555"/>
      <c r="AX123" s="1555"/>
      <c r="AY123" s="1555"/>
      <c r="AZ123" s="1555"/>
      <c r="BA123" s="1555"/>
      <c r="BB123" s="1555"/>
      <c r="BC123" s="1555"/>
      <c r="BD123" s="1555"/>
      <c r="BE123" s="1555"/>
      <c r="BF123" s="1555"/>
      <c r="BG123" s="1555"/>
      <c r="BH123" s="1555"/>
      <c r="BI123" s="1555"/>
      <c r="BJ123" s="1555"/>
      <c r="BK123" s="1555"/>
      <c r="BL123" s="1555"/>
      <c r="BM123" s="1555"/>
      <c r="BN123" s="1555"/>
      <c r="BO123" s="1555"/>
      <c r="BP123" s="1555"/>
      <c r="BQ123" s="1555"/>
      <c r="BR123" s="1555"/>
      <c r="BS123" s="1555"/>
      <c r="BT123" s="1555"/>
      <c r="BU123" s="1555"/>
      <c r="BV123" s="1079"/>
      <c r="BW123" s="1079"/>
      <c r="BX123" s="1079"/>
      <c r="BY123" s="1079"/>
      <c r="BZ123" s="1079"/>
      <c r="CA123" s="1079"/>
      <c r="CB123" s="1079"/>
      <c r="CC123" s="1079"/>
      <c r="CD123" s="1079"/>
      <c r="CE123" s="1079"/>
    </row>
    <row r="125" spans="1:83" s="2306" customFormat="1" ht="11.25" customHeight="1">
      <c r="A125" s="1733" t="s">
        <v>1956</v>
      </c>
    </row>
    <row r="127" spans="1:83" s="2248" customFormat="1" ht="15" customHeight="1">
      <c r="A127" s="560"/>
      <c r="B127" s="561"/>
      <c r="C127" s="561"/>
      <c r="D127" s="2751" t="s">
        <v>108</v>
      </c>
      <c r="E127" s="2574" t="s">
        <v>104</v>
      </c>
      <c r="F127" s="2575"/>
      <c r="G127" s="2576"/>
      <c r="H127" s="2580" t="str">
        <f>IF(A127="","",INDEX(DIFFERENTIATION_UNMERGE_VD,MATCH(A127,DIFFERENTIATION_ID_DIFF,0)))</f>
        <v/>
      </c>
      <c r="I127" s="2580"/>
      <c r="J127" s="2580"/>
      <c r="K127" s="2580"/>
      <c r="L127" s="2580"/>
      <c r="M127" s="2580"/>
      <c r="N127" s="2580"/>
      <c r="O127" s="2580"/>
      <c r="P127" s="2580"/>
      <c r="Q127" s="2580"/>
      <c r="R127" s="2580"/>
      <c r="S127" s="656"/>
      <c r="T127" s="653"/>
      <c r="U127" s="562"/>
      <c r="V127" s="562"/>
      <c r="W127" s="563"/>
      <c r="X127" s="563"/>
      <c r="Y127" s="563"/>
      <c r="Z127" s="563"/>
      <c r="AA127" s="564"/>
      <c r="AB127" s="565"/>
      <c r="AC127" s="2572"/>
      <c r="AD127" s="566"/>
      <c r="AE127" s="567" t="s">
        <v>22</v>
      </c>
      <c r="AF127" s="567"/>
      <c r="AG127" s="568" t="s">
        <v>610</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2248" customFormat="1" ht="15" customHeight="1">
      <c r="A128" s="560"/>
      <c r="B128" s="561"/>
      <c r="C128" s="561"/>
      <c r="D128" s="2752"/>
      <c r="E128" s="2574" t="s">
        <v>562</v>
      </c>
      <c r="F128" s="2575"/>
      <c r="G128" s="2576"/>
      <c r="H128" s="2580" t="str">
        <f>IF(A127="","",INDEX(DIFFERENTIATION_UNMERGE_AREA,MATCH(A127,DIFFERENTIATION_ID_DIFF,0)))</f>
        <v/>
      </c>
      <c r="I128" s="2580"/>
      <c r="J128" s="2580"/>
      <c r="K128" s="2580"/>
      <c r="L128" s="2580"/>
      <c r="M128" s="2580"/>
      <c r="N128" s="2580"/>
      <c r="O128" s="2580"/>
      <c r="P128" s="2580"/>
      <c r="Q128" s="2580"/>
      <c r="R128" s="2580"/>
      <c r="S128" s="656"/>
      <c r="T128" s="653"/>
      <c r="U128" s="562"/>
      <c r="V128" s="562"/>
      <c r="W128" s="563"/>
      <c r="X128" s="563"/>
      <c r="Y128" s="563"/>
      <c r="Z128" s="563"/>
      <c r="AA128" s="564"/>
      <c r="AB128" s="565"/>
      <c r="AC128" s="2572"/>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2248" customFormat="1" ht="15" customHeight="1">
      <c r="A129" s="560"/>
      <c r="B129" s="561"/>
      <c r="C129" s="561"/>
      <c r="D129" s="2752"/>
      <c r="E129" s="2574" t="s">
        <v>563</v>
      </c>
      <c r="F129" s="2575"/>
      <c r="G129" s="2576"/>
      <c r="H129" s="2580" t="str">
        <f>IF(A127="","",INDEX(DIFFERENTIATION_UNMERGE_SYSTEM,MATCH(A127,DIFFERENTIATION_ID_DIFF,0)))</f>
        <v/>
      </c>
      <c r="I129" s="2580"/>
      <c r="J129" s="2580"/>
      <c r="K129" s="2580"/>
      <c r="L129" s="2580"/>
      <c r="M129" s="2580"/>
      <c r="N129" s="2580"/>
      <c r="O129" s="2580"/>
      <c r="P129" s="2580"/>
      <c r="Q129" s="2580"/>
      <c r="R129" s="2580"/>
      <c r="S129" s="656"/>
      <c r="T129" s="653"/>
      <c r="U129" s="562"/>
      <c r="V129" s="562"/>
      <c r="W129" s="563"/>
      <c r="X129" s="563"/>
      <c r="Y129" s="563"/>
      <c r="Z129" s="563"/>
      <c r="AA129" s="564"/>
      <c r="AB129" s="565"/>
      <c r="AC129" s="2572"/>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2248" customFormat="1" ht="24.75" customHeight="1">
      <c r="A130" s="1724"/>
      <c r="B130" s="1079"/>
      <c r="C130" s="349"/>
      <c r="D130" s="2752"/>
      <c r="E130" s="2573" t="s">
        <v>611</v>
      </c>
      <c r="F130" s="2573"/>
      <c r="G130" s="2573"/>
      <c r="H130" s="2573"/>
      <c r="I130" s="2573"/>
      <c r="J130" s="2573"/>
      <c r="K130" s="2573"/>
      <c r="L130" s="2573"/>
      <c r="M130" s="2573"/>
      <c r="N130" s="2573"/>
      <c r="O130" s="2573"/>
      <c r="P130" s="2573"/>
      <c r="Q130" s="495">
        <f>SUMIF(T131:T132,"i",Q131:Q132)</f>
        <v>0</v>
      </c>
      <c r="R130" s="941"/>
      <c r="S130" s="1716" t="s">
        <v>612</v>
      </c>
      <c r="T130" s="654" t="s">
        <v>613</v>
      </c>
      <c r="U130" s="2482">
        <v>1</v>
      </c>
      <c r="V130" s="2482" t="s">
        <v>573</v>
      </c>
      <c r="W130" s="1079"/>
      <c r="X130" s="1079"/>
      <c r="Y130" s="1079"/>
      <c r="Z130" s="1079"/>
      <c r="AA130" s="1555"/>
      <c r="AB130" s="1079"/>
      <c r="AC130" s="2572"/>
      <c r="AD130" s="566"/>
      <c r="AE130" s="1079"/>
      <c r="AF130" s="1079"/>
      <c r="AG130" s="1555"/>
      <c r="AH130" s="1555"/>
      <c r="AI130" s="1555"/>
      <c r="AJ130" s="1555"/>
      <c r="AK130" s="1555"/>
      <c r="AL130" s="1555"/>
      <c r="AM130" s="1555"/>
      <c r="AN130" s="1555"/>
      <c r="AO130" s="1555"/>
      <c r="AP130" s="1555"/>
      <c r="AQ130" s="1555"/>
      <c r="AR130" s="1555"/>
      <c r="AS130" s="1555"/>
      <c r="AT130" s="1555"/>
      <c r="AU130" s="1555"/>
      <c r="AV130" s="1555"/>
      <c r="AW130" s="1555"/>
      <c r="AX130" s="1555"/>
      <c r="AY130" s="1555"/>
      <c r="AZ130" s="1555"/>
      <c r="BA130" s="1555"/>
      <c r="BB130" s="1555"/>
      <c r="BC130" s="1555"/>
      <c r="BD130" s="1555"/>
      <c r="BE130" s="1555"/>
      <c r="BF130" s="1555"/>
      <c r="BG130" s="1555"/>
      <c r="BH130" s="1555"/>
      <c r="BI130" s="1555"/>
      <c r="BJ130" s="1555"/>
      <c r="BK130" s="1555"/>
      <c r="BL130" s="1555"/>
      <c r="BM130" s="1555"/>
      <c r="BN130" s="1555"/>
      <c r="BO130" s="1555"/>
      <c r="BP130" s="1555"/>
      <c r="BQ130" s="1555"/>
      <c r="BR130" s="1555"/>
      <c r="BS130" s="1555"/>
      <c r="BT130" s="1555"/>
      <c r="BU130" s="1555"/>
      <c r="BV130" s="1079"/>
      <c r="BW130" s="1079"/>
      <c r="BX130" s="1079"/>
      <c r="BY130" s="1079"/>
      <c r="BZ130" s="1079"/>
      <c r="CA130" s="1079"/>
      <c r="CB130" s="1079"/>
      <c r="CC130" s="1079"/>
      <c r="CD130" s="1079"/>
      <c r="CE130" s="1079"/>
    </row>
    <row r="131" spans="1:83" s="2248" customFormat="1" ht="11.25" hidden="1" customHeight="1">
      <c r="A131" s="1711"/>
      <c r="B131" s="1555"/>
      <c r="C131" s="1555"/>
      <c r="D131" s="2752"/>
      <c r="E131" s="572"/>
      <c r="F131" s="572">
        <v>0</v>
      </c>
      <c r="G131" s="572"/>
      <c r="H131" s="572"/>
      <c r="I131" s="572"/>
      <c r="J131" s="572"/>
      <c r="K131" s="572"/>
      <c r="L131" s="572"/>
      <c r="M131" s="572"/>
      <c r="N131" s="572"/>
      <c r="O131" s="572"/>
      <c r="P131" s="572"/>
      <c r="Q131" s="572"/>
      <c r="R131" s="572"/>
      <c r="S131" s="573"/>
      <c r="T131" s="655"/>
      <c r="U131" s="2482"/>
      <c r="V131" s="2482"/>
      <c r="W131" s="1555"/>
      <c r="X131" s="1555"/>
      <c r="Y131" s="1555"/>
      <c r="Z131" s="1555"/>
      <c r="AA131" s="1555"/>
      <c r="AB131" s="1079"/>
      <c r="AC131" s="2572"/>
      <c r="AD131" s="566"/>
      <c r="AE131" s="1079"/>
      <c r="AF131" s="1079"/>
      <c r="AG131" s="1555"/>
      <c r="AH131" s="1555"/>
      <c r="AI131" s="1555"/>
      <c r="AJ131" s="1555"/>
      <c r="AK131" s="1555"/>
      <c r="AL131" s="1555"/>
      <c r="AM131" s="1555"/>
      <c r="AN131" s="1555"/>
      <c r="AO131" s="1555"/>
      <c r="AP131" s="1555"/>
      <c r="AQ131" s="1555"/>
      <c r="AR131" s="1555"/>
      <c r="AS131" s="1555"/>
      <c r="AT131" s="1555"/>
      <c r="AU131" s="1555"/>
      <c r="AV131" s="1555"/>
      <c r="AW131" s="1555"/>
      <c r="AX131" s="1555"/>
      <c r="AY131" s="1555"/>
      <c r="AZ131" s="1555"/>
      <c r="BA131" s="1555"/>
      <c r="BB131" s="1555"/>
      <c r="BC131" s="1555"/>
      <c r="BD131" s="1555"/>
      <c r="BE131" s="1555"/>
      <c r="BF131" s="1555"/>
      <c r="BG131" s="1555"/>
      <c r="BH131" s="1555"/>
      <c r="BI131" s="1555"/>
      <c r="BJ131" s="1555"/>
      <c r="BK131" s="1555"/>
      <c r="BL131" s="1555"/>
      <c r="BM131" s="1555"/>
      <c r="BN131" s="1555"/>
      <c r="BO131" s="1555"/>
      <c r="BP131" s="1555"/>
      <c r="BQ131" s="1555"/>
      <c r="BR131" s="1555"/>
      <c r="BS131" s="1555"/>
      <c r="BT131" s="1555"/>
      <c r="BU131" s="1555"/>
      <c r="BV131" s="1555"/>
      <c r="BW131" s="1555"/>
      <c r="BX131" s="1555"/>
      <c r="BY131" s="1555"/>
      <c r="BZ131" s="1555"/>
      <c r="CA131" s="1555"/>
      <c r="CB131" s="1555"/>
      <c r="CC131" s="1555"/>
      <c r="CD131" s="1555"/>
      <c r="CE131" s="1555"/>
    </row>
    <row r="132" spans="1:83" s="2248" customFormat="1" ht="11.25" customHeight="1">
      <c r="A132" s="1724"/>
      <c r="B132" s="1079"/>
      <c r="C132" s="349"/>
      <c r="D132" s="2752"/>
      <c r="E132" s="586" t="s">
        <v>22</v>
      </c>
      <c r="F132" s="1087" t="s">
        <v>22</v>
      </c>
      <c r="G132" s="1087" t="s">
        <v>1955</v>
      </c>
      <c r="H132" s="588" t="s">
        <v>22</v>
      </c>
      <c r="I132" s="588"/>
      <c r="J132" s="588"/>
      <c r="K132" s="588"/>
      <c r="L132" s="588"/>
      <c r="M132" s="588"/>
      <c r="N132" s="588"/>
      <c r="O132" s="588"/>
      <c r="P132" s="588"/>
      <c r="Q132" s="588"/>
      <c r="R132" s="589"/>
      <c r="S132" s="590"/>
      <c r="T132" s="655"/>
      <c r="U132" s="2482"/>
      <c r="V132" s="2482"/>
      <c r="W132" s="1079"/>
      <c r="X132" s="1079"/>
      <c r="Y132" s="1079"/>
      <c r="Z132" s="1079"/>
      <c r="AA132" s="1555"/>
      <c r="AB132" s="1079"/>
      <c r="AC132" s="2572"/>
      <c r="AD132" s="566"/>
      <c r="AE132" s="1079"/>
      <c r="AF132" s="1079"/>
      <c r="AG132" s="1555"/>
      <c r="AH132" s="1555"/>
      <c r="AI132" s="1555"/>
      <c r="AJ132" s="1555"/>
      <c r="AK132" s="1555"/>
      <c r="AL132" s="1555"/>
      <c r="AM132" s="1555"/>
      <c r="AN132" s="1555"/>
      <c r="AO132" s="1555"/>
      <c r="AP132" s="1555"/>
      <c r="AQ132" s="1555"/>
      <c r="AR132" s="1555"/>
      <c r="AS132" s="1555"/>
      <c r="AT132" s="1555"/>
      <c r="AU132" s="1555"/>
      <c r="AV132" s="1555"/>
      <c r="AW132" s="1555"/>
      <c r="AX132" s="1555"/>
      <c r="AY132" s="1555"/>
      <c r="AZ132" s="1555"/>
      <c r="BA132" s="1555"/>
      <c r="BB132" s="1555"/>
      <c r="BC132" s="1555"/>
      <c r="BD132" s="1555"/>
      <c r="BE132" s="1555"/>
      <c r="BF132" s="1555"/>
      <c r="BG132" s="1555"/>
      <c r="BH132" s="1555"/>
      <c r="BI132" s="1555"/>
      <c r="BJ132" s="1555"/>
      <c r="BK132" s="1555"/>
      <c r="BL132" s="1555"/>
      <c r="BM132" s="1555"/>
      <c r="BN132" s="1555"/>
      <c r="BO132" s="1555"/>
      <c r="BP132" s="1555"/>
      <c r="BQ132" s="1555"/>
      <c r="BR132" s="1555"/>
      <c r="BS132" s="1555"/>
      <c r="BT132" s="1555"/>
      <c r="BU132" s="1555"/>
      <c r="BV132" s="1079"/>
      <c r="BW132" s="1079"/>
      <c r="BX132" s="1079"/>
      <c r="BY132" s="1079"/>
      <c r="BZ132" s="1079"/>
      <c r="CA132" s="1079"/>
      <c r="CB132" s="1079"/>
      <c r="CC132" s="1079"/>
      <c r="CD132" s="1079"/>
      <c r="CE132" s="1079"/>
    </row>
    <row r="133" spans="1:83" s="2258" customFormat="1" ht="5.25" hidden="1" customHeight="1">
      <c r="A133" s="1711"/>
      <c r="B133" s="1555"/>
      <c r="C133" s="1555"/>
      <c r="D133" s="2752"/>
      <c r="E133" s="963"/>
      <c r="F133" s="963"/>
      <c r="G133" s="963"/>
      <c r="H133" s="963"/>
      <c r="I133" s="963"/>
      <c r="J133" s="963"/>
      <c r="K133" s="963"/>
      <c r="L133" s="963"/>
      <c r="M133" s="963"/>
      <c r="N133" s="963"/>
      <c r="O133" s="963"/>
      <c r="P133" s="963"/>
      <c r="Q133" s="964"/>
      <c r="R133" s="965"/>
      <c r="S133" s="966"/>
      <c r="T133" s="654" t="s">
        <v>613</v>
      </c>
      <c r="U133" s="2482">
        <v>1</v>
      </c>
      <c r="V133" s="2482" t="s">
        <v>573</v>
      </c>
      <c r="W133" s="1555"/>
      <c r="X133" s="1555"/>
      <c r="Y133" s="1555"/>
      <c r="Z133" s="1555"/>
      <c r="AA133" s="1555"/>
      <c r="AB133" s="1555"/>
      <c r="AC133" s="961"/>
      <c r="AD133" s="962"/>
      <c r="AE133" s="1555"/>
      <c r="AF133" s="1555"/>
      <c r="AG133" s="1555"/>
      <c r="AH133" s="1555"/>
      <c r="AI133" s="1555"/>
      <c r="AJ133" s="1555"/>
      <c r="AK133" s="1555"/>
      <c r="AL133" s="1555"/>
      <c r="AM133" s="1555"/>
      <c r="AN133" s="1555"/>
      <c r="AO133" s="1555"/>
      <c r="AP133" s="1555"/>
      <c r="AQ133" s="1555"/>
      <c r="AR133" s="1555"/>
      <c r="AS133" s="1555"/>
      <c r="AT133" s="1555"/>
      <c r="AU133" s="1555"/>
      <c r="AV133" s="1555"/>
      <c r="AW133" s="1555"/>
      <c r="AX133" s="1555"/>
      <c r="AY133" s="1555"/>
      <c r="AZ133" s="1555"/>
      <c r="BA133" s="1555"/>
      <c r="BB133" s="1555"/>
      <c r="BC133" s="1555"/>
      <c r="BD133" s="1555"/>
      <c r="BE133" s="1555"/>
      <c r="BF133" s="1555"/>
      <c r="BG133" s="1555"/>
      <c r="BH133" s="1555"/>
      <c r="BI133" s="1555"/>
      <c r="BJ133" s="1555"/>
      <c r="BK133" s="1555"/>
      <c r="BL133" s="1555"/>
      <c r="BM133" s="1555"/>
      <c r="BN133" s="1555"/>
      <c r="BO133" s="1555"/>
      <c r="BP133" s="1555"/>
      <c r="BQ133" s="1555"/>
      <c r="BR133" s="1555"/>
      <c r="BS133" s="1555"/>
      <c r="BT133" s="1555"/>
      <c r="BU133" s="1555"/>
      <c r="BV133" s="1555"/>
      <c r="BW133" s="1555"/>
      <c r="BX133" s="1555"/>
      <c r="BY133" s="1555"/>
      <c r="BZ133" s="1555"/>
      <c r="CA133" s="1555"/>
      <c r="CB133" s="1555"/>
      <c r="CC133" s="1555"/>
      <c r="CD133" s="1555"/>
      <c r="CE133" s="1555"/>
    </row>
    <row r="134" spans="1:83" s="2258" customFormat="1" ht="5.25" hidden="1" customHeight="1">
      <c r="A134" s="1711"/>
      <c r="B134" s="1555"/>
      <c r="C134" s="1555"/>
      <c r="D134" s="2752"/>
      <c r="E134" s="572"/>
      <c r="F134" s="572"/>
      <c r="G134" s="572"/>
      <c r="H134" s="572"/>
      <c r="I134" s="572"/>
      <c r="J134" s="572"/>
      <c r="K134" s="572"/>
      <c r="L134" s="572"/>
      <c r="M134" s="572"/>
      <c r="N134" s="572"/>
      <c r="O134" s="572"/>
      <c r="P134" s="572"/>
      <c r="Q134" s="572"/>
      <c r="R134" s="572"/>
      <c r="S134" s="573"/>
      <c r="T134" s="655"/>
      <c r="U134" s="2482"/>
      <c r="V134" s="2482"/>
      <c r="W134" s="1555"/>
      <c r="X134" s="1555"/>
      <c r="Y134" s="1555"/>
      <c r="Z134" s="1555"/>
      <c r="AA134" s="1555"/>
      <c r="AB134" s="1555"/>
      <c r="AC134" s="961"/>
      <c r="AD134" s="962"/>
      <c r="AE134" s="1555"/>
      <c r="AF134" s="1555"/>
      <c r="AG134" s="1555"/>
      <c r="AH134" s="1555"/>
      <c r="AI134" s="1555"/>
      <c r="AJ134" s="1555"/>
      <c r="AK134" s="1555"/>
      <c r="AL134" s="1555"/>
      <c r="AM134" s="1555"/>
      <c r="AN134" s="1555"/>
      <c r="AO134" s="1555"/>
      <c r="AP134" s="1555"/>
      <c r="AQ134" s="1555"/>
      <c r="AR134" s="1555"/>
      <c r="AS134" s="1555"/>
      <c r="AT134" s="1555"/>
      <c r="AU134" s="1555"/>
      <c r="AV134" s="1555"/>
      <c r="AW134" s="1555"/>
      <c r="AX134" s="1555"/>
      <c r="AY134" s="1555"/>
      <c r="AZ134" s="1555"/>
      <c r="BA134" s="1555"/>
      <c r="BB134" s="1555"/>
      <c r="BC134" s="1555"/>
      <c r="BD134" s="1555"/>
      <c r="BE134" s="1555"/>
      <c r="BF134" s="1555"/>
      <c r="BG134" s="1555"/>
      <c r="BH134" s="1555"/>
      <c r="BI134" s="1555"/>
      <c r="BJ134" s="1555"/>
      <c r="BK134" s="1555"/>
      <c r="BL134" s="1555"/>
      <c r="BM134" s="1555"/>
      <c r="BN134" s="1555"/>
      <c r="BO134" s="1555"/>
      <c r="BP134" s="1555"/>
      <c r="BQ134" s="1555"/>
      <c r="BR134" s="1555"/>
      <c r="BS134" s="1555"/>
      <c r="BT134" s="1555"/>
      <c r="BU134" s="1555"/>
      <c r="BV134" s="1555"/>
      <c r="BW134" s="1555"/>
      <c r="BX134" s="1555"/>
      <c r="BY134" s="1555"/>
      <c r="BZ134" s="1555"/>
      <c r="CA134" s="1555"/>
      <c r="CB134" s="1555"/>
      <c r="CC134" s="1555"/>
      <c r="CD134" s="1555"/>
      <c r="CE134" s="1555"/>
    </row>
    <row r="135" spans="1:83" s="2258" customFormat="1" ht="5.25" hidden="1" customHeight="1">
      <c r="A135" s="1711"/>
      <c r="B135" s="1555"/>
      <c r="C135" s="1555"/>
      <c r="D135" s="2753"/>
      <c r="E135" s="967"/>
      <c r="F135" s="968"/>
      <c r="G135" s="968"/>
      <c r="H135" s="969"/>
      <c r="I135" s="969"/>
      <c r="J135" s="969"/>
      <c r="K135" s="969"/>
      <c r="L135" s="969"/>
      <c r="M135" s="969"/>
      <c r="N135" s="969"/>
      <c r="O135" s="969"/>
      <c r="P135" s="969"/>
      <c r="Q135" s="969"/>
      <c r="R135" s="872"/>
      <c r="S135" s="970"/>
      <c r="T135" s="655"/>
      <c r="U135" s="2482"/>
      <c r="V135" s="2482"/>
      <c r="W135" s="1555"/>
      <c r="X135" s="1555"/>
      <c r="Y135" s="1555"/>
      <c r="Z135" s="1555"/>
      <c r="AA135" s="1555"/>
      <c r="AB135" s="1555"/>
      <c r="AC135" s="961"/>
      <c r="AD135" s="962"/>
      <c r="AE135" s="1555"/>
      <c r="AF135" s="1555"/>
      <c r="AG135" s="1555"/>
      <c r="AH135" s="1555"/>
      <c r="AI135" s="1555"/>
      <c r="AJ135" s="1555"/>
      <c r="AK135" s="1555"/>
      <c r="AL135" s="1555"/>
      <c r="AM135" s="1555"/>
      <c r="AN135" s="1555"/>
      <c r="AO135" s="1555"/>
      <c r="AP135" s="1555"/>
      <c r="AQ135" s="1555"/>
      <c r="AR135" s="1555"/>
      <c r="AS135" s="1555"/>
      <c r="AT135" s="1555"/>
      <c r="AU135" s="1555"/>
      <c r="AV135" s="1555"/>
      <c r="AW135" s="1555"/>
      <c r="AX135" s="1555"/>
      <c r="AY135" s="1555"/>
      <c r="AZ135" s="1555"/>
      <c r="BA135" s="1555"/>
      <c r="BB135" s="1555"/>
      <c r="BC135" s="1555"/>
      <c r="BD135" s="1555"/>
      <c r="BE135" s="1555"/>
      <c r="BF135" s="1555"/>
      <c r="BG135" s="1555"/>
      <c r="BH135" s="1555"/>
      <c r="BI135" s="1555"/>
      <c r="BJ135" s="1555"/>
      <c r="BK135" s="1555"/>
      <c r="BL135" s="1555"/>
      <c r="BM135" s="1555"/>
      <c r="BN135" s="1555"/>
      <c r="BO135" s="1555"/>
      <c r="BP135" s="1555"/>
      <c r="BQ135" s="1555"/>
      <c r="BR135" s="1555"/>
      <c r="BS135" s="1555"/>
      <c r="BT135" s="1555"/>
      <c r="BU135" s="1555"/>
      <c r="BV135" s="1555"/>
      <c r="BW135" s="1555"/>
      <c r="BX135" s="1555"/>
      <c r="BY135" s="1555"/>
      <c r="BZ135" s="1555"/>
      <c r="CA135" s="1555"/>
      <c r="CB135" s="1555"/>
      <c r="CC135" s="1555"/>
      <c r="CD135" s="1555"/>
      <c r="CE135" s="1555"/>
    </row>
    <row r="136" spans="1:83" ht="17.25" customHeight="1">
      <c r="D136" s="1752"/>
    </row>
    <row r="137" spans="1:83" s="2306" customFormat="1" ht="11.25" customHeight="1">
      <c r="A137" s="1733" t="s">
        <v>1957</v>
      </c>
    </row>
    <row r="139" spans="1:83" s="2248" customFormat="1" ht="45" customHeight="1">
      <c r="A139" s="1724"/>
      <c r="B139" s="1079"/>
      <c r="C139" s="349"/>
      <c r="D139" s="29"/>
      <c r="E139" s="2746"/>
      <c r="F139" s="2345" t="s">
        <v>108</v>
      </c>
      <c r="G139" s="2749" t="s">
        <v>22</v>
      </c>
      <c r="H139" s="226"/>
      <c r="I139" s="574" t="s">
        <v>108</v>
      </c>
      <c r="J139" s="1725" t="s">
        <v>1958</v>
      </c>
      <c r="K139" s="575" t="s">
        <v>544</v>
      </c>
      <c r="L139" s="2456" t="s">
        <v>544</v>
      </c>
      <c r="M139" s="2391"/>
      <c r="N139" s="575" t="s">
        <v>544</v>
      </c>
      <c r="O139" s="575" t="s">
        <v>544</v>
      </c>
      <c r="P139" s="575" t="s">
        <v>544</v>
      </c>
      <c r="Q139" s="576">
        <f>SUM(Q140:Q142)</f>
        <v>0</v>
      </c>
      <c r="R139" s="576">
        <f>IF(R136=0,0,(Q136/R136)*100)</f>
        <v>0</v>
      </c>
      <c r="S139" s="2415"/>
      <c r="T139" s="654" t="s">
        <v>613</v>
      </c>
      <c r="U139" s="29"/>
      <c r="V139" s="29"/>
      <c r="AC139" s="29"/>
    </row>
    <row r="140" spans="1:83" s="2248" customFormat="1" ht="11.25" customHeight="1">
      <c r="A140" s="1724"/>
      <c r="B140" s="1079"/>
      <c r="C140" s="349"/>
      <c r="D140" s="29"/>
      <c r="E140" s="2747"/>
      <c r="F140" s="2345"/>
      <c r="G140" s="2749"/>
      <c r="H140" s="2363"/>
      <c r="I140" s="2633" t="s">
        <v>1056</v>
      </c>
      <c r="J140" s="2744"/>
      <c r="K140" s="2745"/>
      <c r="L140" s="577"/>
      <c r="M140" s="578" t="s">
        <v>108</v>
      </c>
      <c r="N140" s="1713"/>
      <c r="O140" s="579"/>
      <c r="P140" s="580"/>
      <c r="Q140" s="579"/>
      <c r="R140" s="581">
        <v>0</v>
      </c>
      <c r="S140" s="2415"/>
      <c r="T140" s="654"/>
      <c r="U140" s="29"/>
      <c r="V140" s="29"/>
      <c r="AC140" s="29"/>
    </row>
    <row r="141" spans="1:83" s="2248" customFormat="1" ht="11.25" customHeight="1">
      <c r="A141" s="1724"/>
      <c r="B141" s="1079"/>
      <c r="C141" s="349"/>
      <c r="D141" s="29"/>
      <c r="E141" s="2747"/>
      <c r="F141" s="2345"/>
      <c r="G141" s="2749"/>
      <c r="H141" s="2363"/>
      <c r="I141" s="2633"/>
      <c r="J141" s="2744"/>
      <c r="K141" s="2720"/>
      <c r="L141" s="582"/>
      <c r="M141" s="583"/>
      <c r="N141" s="584" t="s">
        <v>1959</v>
      </c>
      <c r="O141" s="584"/>
      <c r="P141" s="584"/>
      <c r="Q141" s="584"/>
      <c r="R141" s="585"/>
      <c r="S141" s="2415"/>
      <c r="T141" s="654"/>
      <c r="U141" s="29"/>
      <c r="V141" s="29"/>
      <c r="AC141" s="29"/>
    </row>
    <row r="142" spans="1:83" s="2248" customFormat="1" ht="11.25" customHeight="1">
      <c r="A142" s="1724"/>
      <c r="B142" s="1079"/>
      <c r="C142" s="349"/>
      <c r="D142" s="29"/>
      <c r="E142" s="2748"/>
      <c r="F142" s="2345"/>
      <c r="G142" s="2750"/>
      <c r="H142" s="582" t="s">
        <v>22</v>
      </c>
      <c r="I142" s="583"/>
      <c r="J142" s="584" t="s">
        <v>1960</v>
      </c>
      <c r="K142" s="584"/>
      <c r="L142" s="584"/>
      <c r="M142" s="584"/>
      <c r="N142" s="584"/>
      <c r="O142" s="584"/>
      <c r="P142" s="584"/>
      <c r="Q142" s="584"/>
      <c r="R142" s="585"/>
      <c r="S142" s="2415"/>
      <c r="T142" s="654"/>
      <c r="U142" s="29"/>
      <c r="V142" s="29"/>
      <c r="AC142" s="29"/>
    </row>
    <row r="147" spans="1:43" s="2248" customFormat="1" ht="11.25" customHeight="1">
      <c r="A147" s="1724"/>
      <c r="B147" s="1079"/>
      <c r="C147" s="349"/>
      <c r="D147" s="29"/>
      <c r="E147" s="1746"/>
      <c r="F147" s="1746"/>
      <c r="G147" s="1746"/>
      <c r="H147" s="2363"/>
      <c r="I147" s="2633" t="s">
        <v>1056</v>
      </c>
      <c r="J147" s="2744"/>
      <c r="K147" s="2745"/>
      <c r="L147" s="577"/>
      <c r="M147" s="578" t="s">
        <v>108</v>
      </c>
      <c r="N147" s="1713"/>
      <c r="O147" s="579"/>
      <c r="P147" s="580"/>
      <c r="Q147" s="579"/>
      <c r="R147" s="581">
        <v>0</v>
      </c>
      <c r="S147" s="29"/>
      <c r="T147" s="654"/>
      <c r="U147" s="29"/>
      <c r="V147" s="29"/>
      <c r="AC147" s="29"/>
    </row>
    <row r="148" spans="1:43" s="2248" customFormat="1" ht="11.25" customHeight="1">
      <c r="A148" s="1724"/>
      <c r="B148" s="1079"/>
      <c r="C148" s="349"/>
      <c r="D148" s="29"/>
      <c r="E148" s="1746"/>
      <c r="F148" s="1746"/>
      <c r="G148" s="1746"/>
      <c r="H148" s="2363"/>
      <c r="I148" s="2633"/>
      <c r="J148" s="2744"/>
      <c r="K148" s="2720"/>
      <c r="L148" s="582"/>
      <c r="M148" s="583"/>
      <c r="N148" s="584" t="s">
        <v>1959</v>
      </c>
      <c r="O148" s="584"/>
      <c r="P148" s="584"/>
      <c r="Q148" s="584"/>
      <c r="R148" s="585"/>
      <c r="S148" s="29"/>
      <c r="T148" s="654"/>
      <c r="U148" s="29"/>
      <c r="V148" s="29"/>
      <c r="AC148" s="29"/>
    </row>
    <row r="150" spans="1:43" s="2248" customFormat="1" ht="11.25" customHeight="1">
      <c r="A150" s="1724"/>
      <c r="B150" s="1079"/>
      <c r="C150" s="349"/>
      <c r="D150" s="29"/>
      <c r="E150" s="1753"/>
      <c r="F150" s="1751"/>
      <c r="G150" s="1751"/>
      <c r="H150" s="1754"/>
      <c r="I150" s="1746"/>
      <c r="J150" s="1747"/>
      <c r="K150" s="1747"/>
      <c r="L150" s="577"/>
      <c r="M150" s="578" t="s">
        <v>108</v>
      </c>
      <c r="N150" s="1713"/>
      <c r="O150" s="579"/>
      <c r="P150" s="580"/>
      <c r="Q150" s="579"/>
      <c r="R150" s="581">
        <v>0</v>
      </c>
      <c r="S150" s="29"/>
      <c r="T150" s="654"/>
      <c r="U150" s="29"/>
      <c r="V150" s="29"/>
      <c r="AC150" s="29"/>
    </row>
    <row r="152" spans="1:43" s="2306" customFormat="1" ht="17.25" customHeight="1">
      <c r="A152" s="1733" t="s">
        <v>1961</v>
      </c>
    </row>
    <row r="153" spans="1:43" ht="17.25" customHeight="1">
      <c r="G153" s="1755"/>
      <c r="H153" s="1755"/>
      <c r="I153" s="1755"/>
      <c r="M153" s="1751"/>
    </row>
    <row r="154" spans="1:43" s="2254" customFormat="1" ht="17.25" customHeight="1">
      <c r="A154" s="1756"/>
      <c r="C154" s="1758"/>
      <c r="D154" s="2734"/>
      <c r="E154" s="2379"/>
      <c r="F154" s="2381"/>
      <c r="G154" s="2735"/>
      <c r="H154" s="2734"/>
      <c r="I154" s="2734">
        <v>1</v>
      </c>
      <c r="J154" s="2719"/>
      <c r="K154" s="2421" t="s">
        <v>64</v>
      </c>
      <c r="L154" s="2345"/>
      <c r="M154" s="2345" t="s">
        <v>108</v>
      </c>
      <c r="N154" s="2721" t="str">
        <f>IF(Z154="","",INDEX(TERRITORY_MR_LIST,MATCH(Z154,TERRITORY_LIST_ID,0)))</f>
        <v/>
      </c>
      <c r="O154" s="2421" t="s">
        <v>64</v>
      </c>
      <c r="P154" s="2345"/>
      <c r="Q154" s="2345" t="s">
        <v>108</v>
      </c>
      <c r="R154" s="2720" t="s">
        <v>22</v>
      </c>
      <c r="S154" s="2344" t="s">
        <v>64</v>
      </c>
      <c r="T154" s="1729"/>
      <c r="U154" s="1729" t="s">
        <v>108</v>
      </c>
      <c r="V154" s="1759" t="s">
        <v>22</v>
      </c>
      <c r="W154" s="1719"/>
      <c r="Y154" s="1186"/>
      <c r="Z154" s="1186"/>
      <c r="AA154" s="1186"/>
      <c r="AB154" s="1186"/>
      <c r="AC154" s="1186"/>
      <c r="AD154" s="1186"/>
      <c r="AE154" s="1186"/>
      <c r="AF154" s="1186"/>
      <c r="AG154" s="1186"/>
      <c r="AH154" s="1186"/>
      <c r="AI154" s="1186"/>
      <c r="AJ154" s="1186"/>
      <c r="AK154" s="1186"/>
      <c r="AL154" s="1760"/>
      <c r="AM154" s="1760"/>
      <c r="AN154" s="1186"/>
      <c r="AO154" s="1186"/>
      <c r="AP154" s="1186"/>
      <c r="AQ154" s="1186"/>
    </row>
    <row r="155" spans="1:43" s="2254" customFormat="1" ht="17.25" customHeight="1">
      <c r="A155" s="1756"/>
      <c r="C155" s="1761"/>
      <c r="D155" s="2734"/>
      <c r="E155" s="2379"/>
      <c r="F155" s="2382"/>
      <c r="G155" s="2735"/>
      <c r="H155" s="2734"/>
      <c r="I155" s="2734"/>
      <c r="J155" s="2719"/>
      <c r="K155" s="2422"/>
      <c r="L155" s="2345"/>
      <c r="M155" s="2345"/>
      <c r="N155" s="2721"/>
      <c r="O155" s="2422"/>
      <c r="P155" s="2345"/>
      <c r="Q155" s="2345"/>
      <c r="R155" s="2720"/>
      <c r="S155" s="2344"/>
      <c r="T155" s="254"/>
      <c r="U155" s="255"/>
      <c r="V155" s="255" t="s">
        <v>412</v>
      </c>
      <c r="W155" s="256"/>
      <c r="Y155" s="1178"/>
      <c r="Z155" s="1178"/>
      <c r="AA155" s="1178"/>
      <c r="AB155" s="1178"/>
      <c r="AC155" s="1178"/>
      <c r="AD155" s="1178"/>
      <c r="AE155" s="1178"/>
      <c r="AF155" s="1178"/>
      <c r="AG155" s="1178"/>
      <c r="AH155" s="1178"/>
      <c r="AI155" s="1178"/>
      <c r="AJ155" s="1178"/>
      <c r="AK155" s="1178"/>
    </row>
    <row r="156" spans="1:43" s="2254" customFormat="1" ht="17.25" customHeight="1">
      <c r="A156" s="1756"/>
      <c r="C156" s="1761"/>
      <c r="D156" s="2372"/>
      <c r="E156" s="2380"/>
      <c r="F156" s="2382"/>
      <c r="G156" s="2736"/>
      <c r="H156" s="2372"/>
      <c r="I156" s="2372"/>
      <c r="J156" s="2737"/>
      <c r="K156" s="2422"/>
      <c r="L156" s="2372"/>
      <c r="M156" s="2372"/>
      <c r="N156" s="2722"/>
      <c r="O156" s="2349"/>
      <c r="P156" s="254"/>
      <c r="Q156" s="255"/>
      <c r="R156" s="255" t="s">
        <v>413</v>
      </c>
      <c r="S156" s="1762"/>
      <c r="T156" s="1762"/>
      <c r="U156" s="1762"/>
      <c r="V156" s="1762"/>
      <c r="W156" s="256"/>
      <c r="Y156" s="1178"/>
      <c r="Z156" s="1178"/>
      <c r="AA156" s="1178"/>
      <c r="AB156" s="1178"/>
      <c r="AC156" s="1178"/>
      <c r="AD156" s="1178"/>
      <c r="AE156" s="1178"/>
      <c r="AF156" s="1178"/>
      <c r="AG156" s="1178"/>
      <c r="AH156" s="1178"/>
      <c r="AI156" s="1178"/>
      <c r="AJ156" s="1178"/>
      <c r="AK156" s="1178"/>
    </row>
    <row r="157" spans="1:43" s="2254" customFormat="1" ht="17.25" customHeight="1">
      <c r="A157" s="1756"/>
      <c r="C157" s="1761"/>
      <c r="D157" s="2372"/>
      <c r="E157" s="2380"/>
      <c r="F157" s="2382"/>
      <c r="G157" s="2736"/>
      <c r="H157" s="2372"/>
      <c r="I157" s="2372"/>
      <c r="J157" s="2737"/>
      <c r="K157" s="2349"/>
      <c r="L157" s="254"/>
      <c r="M157" s="255"/>
      <c r="N157" s="255" t="s">
        <v>414</v>
      </c>
      <c r="O157" s="255"/>
      <c r="P157" s="255"/>
      <c r="Q157" s="255"/>
      <c r="R157" s="255"/>
      <c r="S157" s="1762"/>
      <c r="T157" s="1762"/>
      <c r="U157" s="1762"/>
      <c r="V157" s="1762"/>
      <c r="W157" s="256"/>
      <c r="Y157" s="1178"/>
      <c r="Z157" s="1178"/>
      <c r="AA157" s="1178"/>
      <c r="AB157" s="1178"/>
      <c r="AC157" s="1178"/>
      <c r="AD157" s="1178"/>
      <c r="AE157" s="1178"/>
      <c r="AF157" s="1178"/>
      <c r="AG157" s="1178"/>
      <c r="AH157" s="1178"/>
      <c r="AI157" s="1178"/>
      <c r="AJ157" s="1178"/>
      <c r="AK157" s="1178"/>
    </row>
    <row r="158" spans="1:43" s="2254" customFormat="1" ht="17.25" customHeight="1">
      <c r="A158" s="1756"/>
      <c r="C158" s="1761"/>
      <c r="D158" s="2372"/>
      <c r="E158" s="2380"/>
      <c r="F158" s="2383"/>
      <c r="G158" s="2736"/>
      <c r="H158" s="254"/>
      <c r="I158" s="255"/>
      <c r="J158" s="255" t="s">
        <v>446</v>
      </c>
      <c r="K158" s="255"/>
      <c r="L158" s="255"/>
      <c r="M158" s="255"/>
      <c r="N158" s="255"/>
      <c r="O158" s="255"/>
      <c r="P158" s="255"/>
      <c r="Q158" s="255"/>
      <c r="R158" s="255"/>
      <c r="S158" s="1762"/>
      <c r="T158" s="1762"/>
      <c r="U158" s="1762"/>
      <c r="V158" s="1762"/>
      <c r="W158" s="256"/>
      <c r="Y158" s="1178"/>
      <c r="Z158" s="1178"/>
      <c r="AA158" s="1178"/>
      <c r="AB158" s="1178"/>
      <c r="AC158" s="1178"/>
      <c r="AD158" s="1178"/>
      <c r="AE158" s="1178"/>
      <c r="AF158" s="1178"/>
      <c r="AG158" s="1178"/>
      <c r="AH158" s="1178"/>
      <c r="AI158" s="1178"/>
      <c r="AJ158" s="1178"/>
      <c r="AK158" s="1178"/>
    </row>
    <row r="159" spans="1:43" ht="17.25" customHeight="1">
      <c r="G159" s="1755"/>
      <c r="H159" s="1755"/>
      <c r="I159" s="1755"/>
      <c r="M159" s="1751"/>
    </row>
    <row r="160" spans="1:43" s="2254" customFormat="1" ht="17.25" customHeight="1">
      <c r="A160" s="1756"/>
      <c r="C160" s="1758"/>
      <c r="D160" s="1746"/>
      <c r="E160" s="1763"/>
      <c r="F160" s="1702"/>
      <c r="G160" s="1764"/>
      <c r="H160" s="2734"/>
      <c r="I160" s="2734">
        <v>1</v>
      </c>
      <c r="J160" s="2719"/>
      <c r="K160" s="2421" t="s">
        <v>64</v>
      </c>
      <c r="L160" s="2345"/>
      <c r="M160" s="2345" t="s">
        <v>108</v>
      </c>
      <c r="N160" s="2721" t="str">
        <f>IF(Z160="","",INDEX(TERRITORY_MR_LIST,MATCH(Z160,TERRITORY_LIST_ID,0)))</f>
        <v/>
      </c>
      <c r="O160" s="2421" t="s">
        <v>64</v>
      </c>
      <c r="P160" s="2345"/>
      <c r="Q160" s="2345" t="s">
        <v>108</v>
      </c>
      <c r="R160" s="2720" t="s">
        <v>22</v>
      </c>
      <c r="S160" s="2344" t="s">
        <v>64</v>
      </c>
      <c r="T160" s="1729"/>
      <c r="U160" s="1729" t="s">
        <v>108</v>
      </c>
      <c r="V160" s="1759" t="s">
        <v>22</v>
      </c>
      <c r="W160" s="1719"/>
      <c r="Y160" s="1186"/>
      <c r="Z160" s="1186"/>
      <c r="AA160" s="1186"/>
      <c r="AB160" s="1186"/>
      <c r="AC160" s="1186"/>
      <c r="AD160" s="1186"/>
      <c r="AE160" s="1186"/>
      <c r="AF160" s="1186"/>
      <c r="AG160" s="1186"/>
      <c r="AH160" s="1186"/>
      <c r="AI160" s="1186"/>
      <c r="AJ160" s="1186"/>
      <c r="AK160" s="1186"/>
      <c r="AL160" s="1760"/>
      <c r="AM160" s="1760"/>
      <c r="AN160" s="1186"/>
      <c r="AO160" s="1186"/>
      <c r="AP160" s="1186"/>
      <c r="AQ160" s="1186"/>
    </row>
    <row r="161" spans="1:43" s="2254" customFormat="1" ht="17.25" customHeight="1">
      <c r="A161" s="1756"/>
      <c r="C161" s="1761"/>
      <c r="D161" s="1746"/>
      <c r="E161" s="1763"/>
      <c r="F161" s="1702"/>
      <c r="G161" s="1764"/>
      <c r="H161" s="2734"/>
      <c r="I161" s="2734"/>
      <c r="J161" s="2719"/>
      <c r="K161" s="2422"/>
      <c r="L161" s="2345"/>
      <c r="M161" s="2345"/>
      <c r="N161" s="2721"/>
      <c r="O161" s="2422"/>
      <c r="P161" s="2345"/>
      <c r="Q161" s="2345"/>
      <c r="R161" s="2720"/>
      <c r="S161" s="2344"/>
      <c r="T161" s="254"/>
      <c r="U161" s="255"/>
      <c r="V161" s="255" t="s">
        <v>412</v>
      </c>
      <c r="W161" s="256"/>
      <c r="Y161" s="1178"/>
      <c r="Z161" s="1178"/>
      <c r="AA161" s="1178"/>
      <c r="AB161" s="1178"/>
      <c r="AC161" s="1178"/>
      <c r="AD161" s="1178"/>
      <c r="AE161" s="1178"/>
      <c r="AF161" s="1178"/>
      <c r="AG161" s="1178"/>
      <c r="AH161" s="1178"/>
      <c r="AI161" s="1178"/>
      <c r="AJ161" s="1178"/>
      <c r="AK161" s="1178"/>
    </row>
    <row r="162" spans="1:43" s="2254" customFormat="1" ht="17.25" customHeight="1">
      <c r="A162" s="1756"/>
      <c r="C162" s="1761"/>
      <c r="D162" s="1746"/>
      <c r="E162" s="1763"/>
      <c r="F162" s="1702"/>
      <c r="G162" s="1764"/>
      <c r="H162" s="2372"/>
      <c r="I162" s="2372"/>
      <c r="J162" s="2737"/>
      <c r="K162" s="2422"/>
      <c r="L162" s="2372"/>
      <c r="M162" s="2372"/>
      <c r="N162" s="2722"/>
      <c r="O162" s="2349"/>
      <c r="P162" s="254"/>
      <c r="Q162" s="255"/>
      <c r="R162" s="255" t="s">
        <v>413</v>
      </c>
      <c r="S162" s="1762"/>
      <c r="T162" s="1762"/>
      <c r="U162" s="1762"/>
      <c r="V162" s="1762"/>
      <c r="W162" s="256"/>
      <c r="Y162" s="1178"/>
      <c r="Z162" s="1178"/>
      <c r="AA162" s="1178"/>
      <c r="AB162" s="1178"/>
      <c r="AC162" s="1178"/>
      <c r="AD162" s="1178"/>
      <c r="AE162" s="1178"/>
      <c r="AF162" s="1178"/>
      <c r="AG162" s="1178"/>
      <c r="AH162" s="1178"/>
      <c r="AI162" s="1178"/>
      <c r="AJ162" s="1178"/>
      <c r="AK162" s="1178"/>
    </row>
    <row r="163" spans="1:43" s="2254" customFormat="1" ht="17.25" customHeight="1">
      <c r="A163" s="1756"/>
      <c r="C163" s="1761"/>
      <c r="D163" s="1746"/>
      <c r="E163" s="1763"/>
      <c r="F163" s="1702"/>
      <c r="G163" s="1764"/>
      <c r="H163" s="2372"/>
      <c r="I163" s="2372"/>
      <c r="J163" s="2737"/>
      <c r="K163" s="2349"/>
      <c r="L163" s="254"/>
      <c r="M163" s="255"/>
      <c r="N163" s="255" t="s">
        <v>414</v>
      </c>
      <c r="O163" s="255"/>
      <c r="P163" s="255"/>
      <c r="Q163" s="255"/>
      <c r="R163" s="255"/>
      <c r="S163" s="1762"/>
      <c r="T163" s="1762"/>
      <c r="U163" s="1762"/>
      <c r="V163" s="1762"/>
      <c r="W163" s="256"/>
      <c r="Y163" s="1178"/>
      <c r="Z163" s="1178"/>
      <c r="AA163" s="1178"/>
      <c r="AB163" s="1178"/>
      <c r="AC163" s="1178"/>
      <c r="AD163" s="1178"/>
      <c r="AE163" s="1178"/>
      <c r="AF163" s="1178"/>
      <c r="AG163" s="1178"/>
      <c r="AH163" s="1178"/>
      <c r="AI163" s="1178"/>
      <c r="AJ163" s="1178"/>
      <c r="AK163" s="1178"/>
    </row>
    <row r="164" spans="1:43" ht="17.25" customHeight="1">
      <c r="G164" s="1755"/>
      <c r="H164" s="1755"/>
      <c r="I164" s="1755"/>
      <c r="M164" s="1751"/>
    </row>
    <row r="165" spans="1:43" s="2254" customFormat="1" ht="17.25" customHeight="1">
      <c r="A165" s="1756"/>
      <c r="C165" s="1758"/>
      <c r="D165" s="1746"/>
      <c r="E165" s="1763"/>
      <c r="F165" s="1702"/>
      <c r="G165" s="1764"/>
      <c r="H165" s="1746"/>
      <c r="I165" s="1746"/>
      <c r="J165" s="1765"/>
      <c r="K165" s="1678"/>
      <c r="L165" s="2345"/>
      <c r="M165" s="2345" t="s">
        <v>108</v>
      </c>
      <c r="N165" s="2721" t="str">
        <f>IF(Z165="","",INDEX(TERRITORY_MR_LIST,MATCH(Z165,TERRITORY_LIST_ID,0)))</f>
        <v/>
      </c>
      <c r="O165" s="2421" t="s">
        <v>64</v>
      </c>
      <c r="P165" s="2345"/>
      <c r="Q165" s="2345" t="s">
        <v>108</v>
      </c>
      <c r="R165" s="2720" t="s">
        <v>22</v>
      </c>
      <c r="S165" s="2344" t="s">
        <v>64</v>
      </c>
      <c r="T165" s="1729"/>
      <c r="U165" s="1729" t="s">
        <v>108</v>
      </c>
      <c r="V165" s="1759" t="s">
        <v>22</v>
      </c>
      <c r="W165" s="1719"/>
      <c r="Y165" s="1186"/>
      <c r="Z165" s="1186"/>
      <c r="AA165" s="1186"/>
      <c r="AB165" s="1186"/>
      <c r="AC165" s="1186"/>
      <c r="AD165" s="1186"/>
      <c r="AE165" s="1186"/>
      <c r="AF165" s="1186"/>
      <c r="AG165" s="1186"/>
      <c r="AH165" s="1186"/>
      <c r="AI165" s="1186"/>
      <c r="AJ165" s="1186"/>
      <c r="AK165" s="1186"/>
      <c r="AL165" s="1760"/>
      <c r="AM165" s="1760"/>
      <c r="AN165" s="1186"/>
      <c r="AO165" s="1186"/>
      <c r="AP165" s="1186"/>
      <c r="AQ165" s="1186"/>
    </row>
    <row r="166" spans="1:43" s="2254" customFormat="1" ht="17.25" customHeight="1">
      <c r="A166" s="1756"/>
      <c r="C166" s="1761"/>
      <c r="D166" s="1746"/>
      <c r="E166" s="1763"/>
      <c r="F166" s="1702"/>
      <c r="G166" s="1764"/>
      <c r="H166" s="1746"/>
      <c r="I166" s="1746"/>
      <c r="J166" s="1765"/>
      <c r="K166" s="1678"/>
      <c r="L166" s="2345"/>
      <c r="M166" s="2345"/>
      <c r="N166" s="2721"/>
      <c r="O166" s="2422"/>
      <c r="P166" s="2345"/>
      <c r="Q166" s="2345"/>
      <c r="R166" s="2720"/>
      <c r="S166" s="2344"/>
      <c r="T166" s="254"/>
      <c r="U166" s="255"/>
      <c r="V166" s="255" t="s">
        <v>412</v>
      </c>
      <c r="W166" s="256"/>
      <c r="Y166" s="1178"/>
      <c r="Z166" s="1178"/>
      <c r="AA166" s="1178"/>
      <c r="AB166" s="1178"/>
      <c r="AC166" s="1178"/>
      <c r="AD166" s="1178"/>
      <c r="AE166" s="1178"/>
      <c r="AF166" s="1178"/>
      <c r="AG166" s="1178"/>
      <c r="AH166" s="1178"/>
      <c r="AI166" s="1178"/>
      <c r="AJ166" s="1178"/>
      <c r="AK166" s="1178"/>
    </row>
    <row r="167" spans="1:43" s="2254" customFormat="1" ht="17.25" customHeight="1">
      <c r="A167" s="1756"/>
      <c r="C167" s="1761"/>
      <c r="D167" s="1746"/>
      <c r="E167" s="1763"/>
      <c r="F167" s="1702"/>
      <c r="G167" s="1764"/>
      <c r="H167" s="1746"/>
      <c r="I167" s="1746"/>
      <c r="J167" s="1765"/>
      <c r="K167" s="1678"/>
      <c r="L167" s="2372"/>
      <c r="M167" s="2372"/>
      <c r="N167" s="2722"/>
      <c r="O167" s="2349"/>
      <c r="P167" s="254"/>
      <c r="Q167" s="255"/>
      <c r="R167" s="255" t="s">
        <v>413</v>
      </c>
      <c r="S167" s="1762"/>
      <c r="T167" s="1762"/>
      <c r="U167" s="1762"/>
      <c r="V167" s="1762"/>
      <c r="W167" s="256"/>
      <c r="Y167" s="1178"/>
      <c r="Z167" s="1178"/>
      <c r="AA167" s="1178"/>
      <c r="AB167" s="1178"/>
      <c r="AC167" s="1178"/>
      <c r="AD167" s="1178"/>
      <c r="AE167" s="1178"/>
      <c r="AF167" s="1178"/>
      <c r="AG167" s="1178"/>
      <c r="AH167" s="1178"/>
      <c r="AI167" s="1178"/>
      <c r="AJ167" s="1178"/>
      <c r="AK167" s="1178"/>
    </row>
    <row r="168" spans="1:43" ht="17.25" customHeight="1">
      <c r="G168" s="1755"/>
      <c r="H168" s="1755"/>
      <c r="I168" s="1755"/>
      <c r="M168" s="1751"/>
    </row>
    <row r="169" spans="1:43" s="2254" customFormat="1" ht="17.25" customHeight="1">
      <c r="A169" s="1756"/>
      <c r="C169" s="1758"/>
      <c r="D169" s="1746"/>
      <c r="E169" s="1763"/>
      <c r="F169" s="1702"/>
      <c r="G169" s="1764"/>
      <c r="H169" s="1746"/>
      <c r="I169" s="1746"/>
      <c r="J169" s="1765"/>
      <c r="K169" s="1678"/>
      <c r="L169" s="1674"/>
      <c r="M169" s="1674"/>
      <c r="N169" s="1961"/>
      <c r="O169" s="1705"/>
      <c r="P169" s="2345"/>
      <c r="Q169" s="2345" t="s">
        <v>108</v>
      </c>
      <c r="R169" s="2720" t="s">
        <v>22</v>
      </c>
      <c r="S169" s="2344" t="s">
        <v>64</v>
      </c>
      <c r="T169" s="1729"/>
      <c r="U169" s="1729" t="s">
        <v>108</v>
      </c>
      <c r="V169" s="1759" t="s">
        <v>22</v>
      </c>
      <c r="W169" s="1719"/>
      <c r="Y169" s="1186"/>
      <c r="Z169" s="1186"/>
      <c r="AA169" s="1186"/>
      <c r="AB169" s="1186"/>
      <c r="AC169" s="1186"/>
      <c r="AD169" s="1186"/>
      <c r="AE169" s="1186"/>
      <c r="AF169" s="1186"/>
      <c r="AG169" s="1186"/>
      <c r="AH169" s="1186"/>
      <c r="AI169" s="1186"/>
      <c r="AJ169" s="1186"/>
      <c r="AK169" s="1186"/>
      <c r="AL169" s="1760"/>
      <c r="AM169" s="1760"/>
      <c r="AN169" s="1186"/>
      <c r="AO169" s="1186"/>
      <c r="AP169" s="1186"/>
      <c r="AQ169" s="1186"/>
    </row>
    <row r="170" spans="1:43" s="2254" customFormat="1" ht="17.25" customHeight="1">
      <c r="A170" s="1756"/>
      <c r="C170" s="1761"/>
      <c r="D170" s="1746"/>
      <c r="E170" s="1763"/>
      <c r="F170" s="1702"/>
      <c r="G170" s="1764"/>
      <c r="H170" s="1746"/>
      <c r="I170" s="1746"/>
      <c r="J170" s="1765"/>
      <c r="K170" s="1678"/>
      <c r="L170" s="1674"/>
      <c r="M170" s="1674"/>
      <c r="N170" s="1961"/>
      <c r="O170" s="1705"/>
      <c r="P170" s="2345"/>
      <c r="Q170" s="2345"/>
      <c r="R170" s="2720"/>
      <c r="S170" s="2344"/>
      <c r="T170" s="254"/>
      <c r="U170" s="255"/>
      <c r="V170" s="255" t="s">
        <v>412</v>
      </c>
      <c r="W170" s="256"/>
      <c r="Y170" s="1178"/>
      <c r="Z170" s="1178"/>
      <c r="AA170" s="1178"/>
      <c r="AB170" s="1178"/>
      <c r="AC170" s="1178"/>
      <c r="AD170" s="1178"/>
      <c r="AE170" s="1178"/>
      <c r="AF170" s="1178"/>
      <c r="AG170" s="1178"/>
      <c r="AH170" s="1178"/>
      <c r="AI170" s="1178"/>
      <c r="AJ170" s="1178"/>
      <c r="AK170" s="1178"/>
    </row>
    <row r="171" spans="1:43" ht="17.25" customHeight="1">
      <c r="G171" s="1755"/>
      <c r="H171" s="1755"/>
      <c r="I171" s="1755"/>
      <c r="M171" s="1751"/>
    </row>
    <row r="172" spans="1:43" s="2254" customFormat="1" ht="17.25" customHeight="1">
      <c r="A172" s="1756"/>
      <c r="C172" s="1758"/>
      <c r="D172" s="1746"/>
      <c r="E172" s="1763"/>
      <c r="F172" s="1702"/>
      <c r="G172" s="1764"/>
      <c r="H172" s="1674"/>
      <c r="I172" s="1674"/>
      <c r="J172" s="1675"/>
      <c r="K172" s="1764"/>
      <c r="L172" s="1674"/>
      <c r="M172" s="1674"/>
      <c r="N172" s="1764"/>
      <c r="O172" s="1764"/>
      <c r="P172" s="1674"/>
      <c r="Q172" s="1674"/>
      <c r="R172" s="1676"/>
      <c r="S172" s="1764"/>
      <c r="T172" s="1729"/>
      <c r="U172" s="1729" t="s">
        <v>108</v>
      </c>
      <c r="V172" s="1759" t="s">
        <v>22</v>
      </c>
      <c r="W172" s="1719"/>
      <c r="Y172" s="1186"/>
      <c r="Z172" s="1186"/>
      <c r="AA172" s="1186"/>
      <c r="AB172" s="1186"/>
      <c r="AC172" s="1186"/>
      <c r="AD172" s="1186"/>
      <c r="AE172" s="1186"/>
      <c r="AF172" s="1186"/>
      <c r="AG172" s="1186"/>
      <c r="AH172" s="1186"/>
      <c r="AI172" s="1186"/>
      <c r="AJ172" s="1186"/>
      <c r="AK172" s="1186"/>
      <c r="AL172" s="1760"/>
      <c r="AM172" s="1760"/>
      <c r="AN172" s="1186"/>
      <c r="AO172" s="1186"/>
      <c r="AP172" s="1186"/>
      <c r="AQ172" s="1186"/>
    </row>
    <row r="174" spans="1:43" s="2306" customFormat="1" ht="17.25" customHeight="1">
      <c r="A174" s="1733" t="s">
        <v>1962</v>
      </c>
    </row>
    <row r="175" spans="1:43" ht="17.25" customHeight="1">
      <c r="G175" s="1755"/>
      <c r="H175" s="1755"/>
      <c r="I175" s="1755"/>
      <c r="M175" s="1751"/>
    </row>
    <row r="176" spans="1:43" s="2254" customFormat="1" ht="17.25" customHeight="1">
      <c r="A176" s="1756"/>
      <c r="C176" s="1758"/>
      <c r="D176" s="2734"/>
      <c r="E176" s="2379"/>
      <c r="F176" s="2381"/>
      <c r="G176" s="2735"/>
      <c r="H176" s="2734"/>
      <c r="I176" s="2734">
        <v>1</v>
      </c>
      <c r="J176" s="2719"/>
      <c r="K176" s="2421" t="s">
        <v>64</v>
      </c>
      <c r="L176" s="2345"/>
      <c r="M176" s="2345" t="s">
        <v>108</v>
      </c>
      <c r="N176" s="2721" t="str">
        <f>IF(Z176="","",INDEX(TERRITORY_MR_LIST,MATCH(Z176,TERRITORY_LIST_ID,0)))</f>
        <v/>
      </c>
      <c r="O176" s="2421" t="s">
        <v>64</v>
      </c>
      <c r="P176" s="2345"/>
      <c r="Q176" s="2345" t="s">
        <v>108</v>
      </c>
      <c r="R176" s="2720" t="s">
        <v>22</v>
      </c>
      <c r="S176" s="2599" t="s">
        <v>19</v>
      </c>
      <c r="T176" s="1720"/>
      <c r="U176" s="1720" t="s">
        <v>108</v>
      </c>
      <c r="V176" s="1353"/>
      <c r="W176" s="2719"/>
      <c r="Y176" s="1186"/>
      <c r="Z176" s="1186"/>
      <c r="AA176" s="1186"/>
      <c r="AB176" s="1186"/>
      <c r="AC176" s="1186"/>
      <c r="AD176" s="1186"/>
      <c r="AE176" s="1186"/>
      <c r="AF176" s="1186"/>
      <c r="AG176" s="1186"/>
      <c r="AH176" s="1186"/>
      <c r="AI176" s="1186"/>
      <c r="AJ176" s="1186"/>
      <c r="AK176" s="1186"/>
      <c r="AL176" s="1760"/>
      <c r="AM176" s="1760"/>
      <c r="AN176" s="1186"/>
      <c r="AO176" s="1186"/>
      <c r="AP176" s="1186"/>
      <c r="AQ176" s="1186"/>
    </row>
    <row r="177" spans="1:43" s="2254" customFormat="1" ht="17.25" customHeight="1">
      <c r="A177" s="1756"/>
      <c r="C177" s="1761"/>
      <c r="D177" s="2734"/>
      <c r="E177" s="2379"/>
      <c r="F177" s="2382"/>
      <c r="G177" s="2735"/>
      <c r="H177" s="2734"/>
      <c r="I177" s="2734"/>
      <c r="J177" s="2719"/>
      <c r="K177" s="2422"/>
      <c r="L177" s="2345"/>
      <c r="M177" s="2345"/>
      <c r="N177" s="2721"/>
      <c r="O177" s="2422"/>
      <c r="P177" s="2345"/>
      <c r="Q177" s="2345"/>
      <c r="R177" s="2720"/>
      <c r="S177" s="2599"/>
      <c r="T177" s="1354"/>
      <c r="U177" s="1355"/>
      <c r="V177" s="1355"/>
      <c r="W177" s="2719"/>
      <c r="Y177" s="1178"/>
      <c r="Z177" s="1178"/>
      <c r="AA177" s="1178"/>
      <c r="AB177" s="1178"/>
      <c r="AC177" s="1178"/>
      <c r="AD177" s="1178"/>
      <c r="AE177" s="1178"/>
      <c r="AF177" s="1178"/>
      <c r="AG177" s="1178"/>
      <c r="AH177" s="1178"/>
      <c r="AI177" s="1178"/>
      <c r="AJ177" s="1178"/>
      <c r="AK177" s="1178"/>
    </row>
    <row r="178" spans="1:43" s="2254" customFormat="1" ht="17.25" customHeight="1">
      <c r="A178" s="1756"/>
      <c r="C178" s="1761"/>
      <c r="D178" s="2372"/>
      <c r="E178" s="2380"/>
      <c r="F178" s="2382"/>
      <c r="G178" s="2736"/>
      <c r="H178" s="2372"/>
      <c r="I178" s="2372"/>
      <c r="J178" s="2737"/>
      <c r="K178" s="2422"/>
      <c r="L178" s="2372"/>
      <c r="M178" s="2372"/>
      <c r="N178" s="2722"/>
      <c r="O178" s="2349"/>
      <c r="P178" s="254"/>
      <c r="Q178" s="255"/>
      <c r="R178" s="255" t="s">
        <v>413</v>
      </c>
      <c r="S178" s="1762"/>
      <c r="T178" s="1762"/>
      <c r="U178" s="1762"/>
      <c r="V178" s="1762"/>
      <c r="W178" s="1352"/>
      <c r="Y178" s="1178"/>
      <c r="Z178" s="1178"/>
      <c r="AA178" s="1178"/>
      <c r="AB178" s="1178"/>
      <c r="AC178" s="1178"/>
      <c r="AD178" s="1178"/>
      <c r="AE178" s="1178"/>
      <c r="AF178" s="1178"/>
      <c r="AG178" s="1178"/>
      <c r="AH178" s="1178"/>
      <c r="AI178" s="1178"/>
      <c r="AJ178" s="1178"/>
      <c r="AK178" s="1178"/>
    </row>
    <row r="179" spans="1:43" s="2254" customFormat="1" ht="17.25" customHeight="1">
      <c r="A179" s="1756"/>
      <c r="C179" s="1761"/>
      <c r="D179" s="2372"/>
      <c r="E179" s="2380"/>
      <c r="F179" s="2382"/>
      <c r="G179" s="2736"/>
      <c r="H179" s="2372"/>
      <c r="I179" s="2372"/>
      <c r="J179" s="2737"/>
      <c r="K179" s="2349"/>
      <c r="L179" s="254"/>
      <c r="M179" s="255"/>
      <c r="N179" s="255" t="s">
        <v>414</v>
      </c>
      <c r="O179" s="255"/>
      <c r="P179" s="255"/>
      <c r="Q179" s="255"/>
      <c r="R179" s="255"/>
      <c r="S179" s="1762"/>
      <c r="T179" s="1762"/>
      <c r="U179" s="1762"/>
      <c r="V179" s="1762"/>
      <c r="W179" s="256"/>
      <c r="Y179" s="1178"/>
      <c r="Z179" s="1178"/>
      <c r="AA179" s="1178"/>
      <c r="AB179" s="1178"/>
      <c r="AC179" s="1178"/>
      <c r="AD179" s="1178"/>
      <c r="AE179" s="1178"/>
      <c r="AF179" s="1178"/>
      <c r="AG179" s="1178"/>
      <c r="AH179" s="1178"/>
      <c r="AI179" s="1178"/>
      <c r="AJ179" s="1178"/>
      <c r="AK179" s="1178"/>
    </row>
    <row r="180" spans="1:43" s="2254" customFormat="1" ht="17.25" customHeight="1">
      <c r="A180" s="1756"/>
      <c r="C180" s="1761"/>
      <c r="D180" s="2372"/>
      <c r="E180" s="2380"/>
      <c r="F180" s="2383"/>
      <c r="G180" s="2736"/>
      <c r="H180" s="254"/>
      <c r="I180" s="255"/>
      <c r="J180" s="255" t="s">
        <v>446</v>
      </c>
      <c r="K180" s="255"/>
      <c r="L180" s="255"/>
      <c r="M180" s="255"/>
      <c r="N180" s="255"/>
      <c r="O180" s="255"/>
      <c r="P180" s="255"/>
      <c r="Q180" s="255"/>
      <c r="R180" s="255"/>
      <c r="S180" s="1762"/>
      <c r="T180" s="1762"/>
      <c r="U180" s="1762"/>
      <c r="V180" s="1762"/>
      <c r="W180" s="256"/>
      <c r="Y180" s="1178"/>
      <c r="Z180" s="1178"/>
      <c r="AA180" s="1178"/>
      <c r="AB180" s="1178"/>
      <c r="AC180" s="1178"/>
      <c r="AD180" s="1178"/>
      <c r="AE180" s="1178"/>
      <c r="AF180" s="1178"/>
      <c r="AG180" s="1178"/>
      <c r="AH180" s="1178"/>
      <c r="AI180" s="1178"/>
      <c r="AJ180" s="1178"/>
      <c r="AK180" s="1178"/>
    </row>
    <row r="181" spans="1:43" ht="17.25" customHeight="1">
      <c r="A181" s="1766"/>
    </row>
    <row r="182" spans="1:43" s="2254" customFormat="1" ht="17.25" customHeight="1">
      <c r="A182" s="1756"/>
      <c r="C182" s="1758"/>
      <c r="D182" s="1746"/>
      <c r="E182" s="1763"/>
      <c r="F182" s="1702"/>
      <c r="G182" s="1764"/>
      <c r="H182" s="2734"/>
      <c r="I182" s="2734">
        <v>1</v>
      </c>
      <c r="J182" s="2719"/>
      <c r="K182" s="2421" t="s">
        <v>64</v>
      </c>
      <c r="L182" s="2345"/>
      <c r="M182" s="2345" t="s">
        <v>108</v>
      </c>
      <c r="N182" s="2721" t="str">
        <f>IF(Z182="","",INDEX(TERRITORY_MR_LIST,MATCH(Z182,TERRITORY_LIST_ID,0)))</f>
        <v/>
      </c>
      <c r="O182" s="2421" t="s">
        <v>64</v>
      </c>
      <c r="P182" s="2345"/>
      <c r="Q182" s="2345" t="s">
        <v>108</v>
      </c>
      <c r="R182" s="2720" t="s">
        <v>22</v>
      </c>
      <c r="S182" s="2599" t="s">
        <v>19</v>
      </c>
      <c r="T182" s="1720"/>
      <c r="U182" s="1720" t="s">
        <v>108</v>
      </c>
      <c r="V182" s="1353"/>
      <c r="W182" s="2719"/>
      <c r="Y182" s="1186"/>
      <c r="Z182" s="1186"/>
      <c r="AA182" s="1186"/>
      <c r="AB182" s="1186"/>
      <c r="AC182" s="1186"/>
      <c r="AD182" s="1186"/>
      <c r="AE182" s="1186"/>
      <c r="AF182" s="1186"/>
      <c r="AG182" s="1186"/>
      <c r="AH182" s="1186"/>
      <c r="AI182" s="1186"/>
      <c r="AJ182" s="1186"/>
      <c r="AK182" s="1186"/>
      <c r="AL182" s="1760"/>
      <c r="AM182" s="1760"/>
      <c r="AN182" s="1186"/>
      <c r="AO182" s="1186"/>
      <c r="AP182" s="1186"/>
      <c r="AQ182" s="1186"/>
    </row>
    <row r="183" spans="1:43" s="2254" customFormat="1" ht="17.25" customHeight="1">
      <c r="A183" s="1756"/>
      <c r="C183" s="1761"/>
      <c r="D183" s="1746"/>
      <c r="E183" s="1763"/>
      <c r="F183" s="1702"/>
      <c r="G183" s="1764"/>
      <c r="H183" s="2734"/>
      <c r="I183" s="2734"/>
      <c r="J183" s="2719"/>
      <c r="K183" s="2422"/>
      <c r="L183" s="2345"/>
      <c r="M183" s="2345"/>
      <c r="N183" s="2721"/>
      <c r="O183" s="2422"/>
      <c r="P183" s="2345"/>
      <c r="Q183" s="2345"/>
      <c r="R183" s="2720"/>
      <c r="S183" s="2599"/>
      <c r="T183" s="1354"/>
      <c r="U183" s="1355"/>
      <c r="V183" s="1355"/>
      <c r="W183" s="2719"/>
      <c r="Y183" s="1178"/>
      <c r="Z183" s="1178"/>
      <c r="AA183" s="1178"/>
      <c r="AB183" s="1178"/>
      <c r="AC183" s="1178"/>
      <c r="AD183" s="1178"/>
      <c r="AE183" s="1178"/>
      <c r="AF183" s="1178"/>
      <c r="AG183" s="1178"/>
      <c r="AH183" s="1178"/>
      <c r="AI183" s="1178"/>
      <c r="AJ183" s="1178"/>
      <c r="AK183" s="1178"/>
    </row>
    <row r="184" spans="1:43" s="2254" customFormat="1" ht="17.25" customHeight="1">
      <c r="A184" s="1756"/>
      <c r="C184" s="1761"/>
      <c r="D184" s="1746"/>
      <c r="E184" s="1763"/>
      <c r="F184" s="1702"/>
      <c r="G184" s="1764"/>
      <c r="H184" s="2372"/>
      <c r="I184" s="2372"/>
      <c r="J184" s="2737"/>
      <c r="K184" s="2422"/>
      <c r="L184" s="2372"/>
      <c r="M184" s="2372"/>
      <c r="N184" s="2722"/>
      <c r="O184" s="2349"/>
      <c r="P184" s="254"/>
      <c r="Q184" s="255"/>
      <c r="R184" s="255" t="s">
        <v>413</v>
      </c>
      <c r="S184" s="1762"/>
      <c r="T184" s="1762"/>
      <c r="U184" s="1762"/>
      <c r="V184" s="1762"/>
      <c r="W184" s="1352"/>
      <c r="Y184" s="1178"/>
      <c r="Z184" s="1178"/>
      <c r="AA184" s="1178"/>
      <c r="AB184" s="1178"/>
      <c r="AC184" s="1178"/>
      <c r="AD184" s="1178"/>
      <c r="AE184" s="1178"/>
      <c r="AF184" s="1178"/>
      <c r="AG184" s="1178"/>
      <c r="AH184" s="1178"/>
      <c r="AI184" s="1178"/>
      <c r="AJ184" s="1178"/>
      <c r="AK184" s="1178"/>
    </row>
    <row r="185" spans="1:43" s="2254" customFormat="1" ht="17.25" customHeight="1">
      <c r="A185" s="1756"/>
      <c r="C185" s="1761"/>
      <c r="D185" s="1746"/>
      <c r="E185" s="1763"/>
      <c r="F185" s="1702"/>
      <c r="G185" s="1764"/>
      <c r="H185" s="2372"/>
      <c r="I185" s="2372"/>
      <c r="J185" s="2737"/>
      <c r="K185" s="2349"/>
      <c r="L185" s="254"/>
      <c r="M185" s="255"/>
      <c r="N185" s="255" t="s">
        <v>414</v>
      </c>
      <c r="O185" s="255"/>
      <c r="P185" s="255"/>
      <c r="Q185" s="255"/>
      <c r="R185" s="255"/>
      <c r="S185" s="1762"/>
      <c r="T185" s="1762"/>
      <c r="U185" s="1762"/>
      <c r="V185" s="1762"/>
      <c r="W185" s="256"/>
      <c r="Y185" s="1178"/>
      <c r="Z185" s="1178"/>
      <c r="AA185" s="1178"/>
      <c r="AB185" s="1178"/>
      <c r="AC185" s="1178"/>
      <c r="AD185" s="1178"/>
      <c r="AE185" s="1178"/>
      <c r="AF185" s="1178"/>
      <c r="AG185" s="1178"/>
      <c r="AH185" s="1178"/>
      <c r="AI185" s="1178"/>
      <c r="AJ185" s="1178"/>
      <c r="AK185" s="1178"/>
    </row>
    <row r="186" spans="1:43" ht="17.25" customHeight="1">
      <c r="A186" s="1766"/>
    </row>
    <row r="187" spans="1:43" s="2254" customFormat="1" ht="17.25" customHeight="1">
      <c r="A187" s="1756"/>
      <c r="C187" s="1758"/>
      <c r="D187" s="1746"/>
      <c r="E187" s="1763"/>
      <c r="F187" s="1702"/>
      <c r="G187" s="1764"/>
      <c r="H187" s="1746"/>
      <c r="I187" s="1746"/>
      <c r="J187" s="1767"/>
      <c r="K187" s="1764"/>
      <c r="L187" s="2345"/>
      <c r="M187" s="2345" t="s">
        <v>108</v>
      </c>
      <c r="N187" s="2721" t="str">
        <f>IF(Z187="","",INDEX(TERRITORY_MR_LIST,MATCH(Z187,TERRITORY_LIST_ID,0)))</f>
        <v/>
      </c>
      <c r="O187" s="2421" t="s">
        <v>64</v>
      </c>
      <c r="P187" s="2345"/>
      <c r="Q187" s="2345" t="s">
        <v>108</v>
      </c>
      <c r="R187" s="2720" t="s">
        <v>22</v>
      </c>
      <c r="S187" s="2599" t="s">
        <v>19</v>
      </c>
      <c r="T187" s="1720"/>
      <c r="U187" s="1720" t="s">
        <v>108</v>
      </c>
      <c r="V187" s="1353"/>
      <c r="W187" s="2719"/>
      <c r="Y187" s="1186"/>
      <c r="Z187" s="1186"/>
      <c r="AA187" s="1186"/>
      <c r="AB187" s="1186"/>
      <c r="AC187" s="1186"/>
      <c r="AD187" s="1186"/>
      <c r="AE187" s="1186"/>
      <c r="AF187" s="1186"/>
      <c r="AG187" s="1186"/>
      <c r="AH187" s="1186"/>
      <c r="AI187" s="1186"/>
      <c r="AJ187" s="1186"/>
      <c r="AK187" s="1186"/>
      <c r="AL187" s="1760"/>
      <c r="AM187" s="1760"/>
      <c r="AN187" s="1186"/>
      <c r="AO187" s="1186"/>
      <c r="AP187" s="1186"/>
      <c r="AQ187" s="1186"/>
    </row>
    <row r="188" spans="1:43" s="2254" customFormat="1" ht="17.25" customHeight="1">
      <c r="A188" s="1756"/>
      <c r="C188" s="1761"/>
      <c r="D188" s="1746"/>
      <c r="E188" s="1763"/>
      <c r="F188" s="1702"/>
      <c r="G188" s="1764"/>
      <c r="H188" s="1746"/>
      <c r="I188" s="1746"/>
      <c r="J188" s="1767"/>
      <c r="K188" s="1764"/>
      <c r="L188" s="2345"/>
      <c r="M188" s="2345"/>
      <c r="N188" s="2721"/>
      <c r="O188" s="2422"/>
      <c r="P188" s="2345"/>
      <c r="Q188" s="2345"/>
      <c r="R188" s="2720"/>
      <c r="S188" s="2599"/>
      <c r="T188" s="1354"/>
      <c r="U188" s="1355"/>
      <c r="V188" s="1355"/>
      <c r="W188" s="2719"/>
      <c r="Y188" s="1178"/>
      <c r="Z188" s="1178"/>
      <c r="AA188" s="1178"/>
      <c r="AB188" s="1178"/>
      <c r="AC188" s="1178"/>
      <c r="AD188" s="1178"/>
      <c r="AE188" s="1178"/>
      <c r="AF188" s="1178"/>
      <c r="AG188" s="1178"/>
      <c r="AH188" s="1178"/>
      <c r="AI188" s="1178"/>
      <c r="AJ188" s="1178"/>
      <c r="AK188" s="1178"/>
    </row>
    <row r="189" spans="1:43" s="2254" customFormat="1" ht="17.25" customHeight="1">
      <c r="A189" s="1756"/>
      <c r="C189" s="1761"/>
      <c r="D189" s="1746"/>
      <c r="E189" s="1763"/>
      <c r="F189" s="1702"/>
      <c r="G189" s="1764"/>
      <c r="H189" s="1746"/>
      <c r="I189" s="1746"/>
      <c r="J189" s="1767"/>
      <c r="K189" s="1764"/>
      <c r="L189" s="2372"/>
      <c r="M189" s="2372"/>
      <c r="N189" s="2722"/>
      <c r="O189" s="2349"/>
      <c r="P189" s="254"/>
      <c r="Q189" s="255"/>
      <c r="R189" s="255" t="s">
        <v>413</v>
      </c>
      <c r="S189" s="1762"/>
      <c r="T189" s="1762"/>
      <c r="U189" s="1762"/>
      <c r="V189" s="1762"/>
      <c r="W189" s="1352"/>
      <c r="Y189" s="1178"/>
      <c r="Z189" s="1178"/>
      <c r="AA189" s="1178"/>
      <c r="AB189" s="1178"/>
      <c r="AC189" s="1178"/>
      <c r="AD189" s="1178"/>
      <c r="AE189" s="1178"/>
      <c r="AF189" s="1178"/>
      <c r="AG189" s="1178"/>
      <c r="AH189" s="1178"/>
      <c r="AI189" s="1178"/>
      <c r="AJ189" s="1178"/>
      <c r="AK189" s="1178"/>
    </row>
    <row r="190" spans="1:43" ht="17.25" customHeight="1">
      <c r="A190" s="1766"/>
    </row>
    <row r="191" spans="1:43" s="2254" customFormat="1" ht="17.25" customHeight="1">
      <c r="A191" s="1756"/>
      <c r="C191" s="1758"/>
      <c r="D191" s="1746"/>
      <c r="E191" s="1763"/>
      <c r="F191" s="1702"/>
      <c r="G191" s="1764"/>
      <c r="H191" s="1746"/>
      <c r="I191" s="1746"/>
      <c r="J191" s="1767"/>
      <c r="K191" s="1764"/>
      <c r="L191" s="1746"/>
      <c r="M191" s="1746"/>
      <c r="N191" s="1961"/>
      <c r="O191" s="1705"/>
      <c r="P191" s="2345"/>
      <c r="Q191" s="2345" t="s">
        <v>108</v>
      </c>
      <c r="R191" s="2720" t="s">
        <v>22</v>
      </c>
      <c r="S191" s="2599" t="s">
        <v>19</v>
      </c>
      <c r="T191" s="1720"/>
      <c r="U191" s="1720" t="s">
        <v>108</v>
      </c>
      <c r="V191" s="1353"/>
      <c r="W191" s="2719"/>
      <c r="Y191" s="1186"/>
      <c r="Z191" s="1186"/>
      <c r="AA191" s="1186"/>
      <c r="AB191" s="1186"/>
      <c r="AC191" s="1186"/>
      <c r="AD191" s="1186"/>
      <c r="AE191" s="1186"/>
      <c r="AF191" s="1186"/>
      <c r="AG191" s="1186"/>
      <c r="AH191" s="1186"/>
      <c r="AI191" s="1186"/>
      <c r="AJ191" s="1186"/>
      <c r="AK191" s="1186"/>
      <c r="AL191" s="1760"/>
      <c r="AM191" s="1760"/>
      <c r="AN191" s="1186"/>
      <c r="AO191" s="1186"/>
      <c r="AP191" s="1186"/>
      <c r="AQ191" s="1186"/>
    </row>
    <row r="192" spans="1:43" s="2254" customFormat="1" ht="17.25" customHeight="1">
      <c r="A192" s="1756"/>
      <c r="C192" s="1761"/>
      <c r="D192" s="1746"/>
      <c r="E192" s="1763"/>
      <c r="F192" s="1702"/>
      <c r="G192" s="1764"/>
      <c r="H192" s="1746"/>
      <c r="I192" s="1746"/>
      <c r="J192" s="1767"/>
      <c r="K192" s="1764"/>
      <c r="L192" s="1746"/>
      <c r="M192" s="1746"/>
      <c r="N192" s="1961"/>
      <c r="O192" s="1705"/>
      <c r="P192" s="2345"/>
      <c r="Q192" s="2345"/>
      <c r="R192" s="2720"/>
      <c r="S192" s="2599"/>
      <c r="T192" s="1354"/>
      <c r="U192" s="1355"/>
      <c r="V192" s="1355"/>
      <c r="W192" s="2719"/>
      <c r="Y192" s="1178"/>
      <c r="Z192" s="1178"/>
      <c r="AA192" s="1178"/>
      <c r="AB192" s="1178"/>
      <c r="AC192" s="1178"/>
      <c r="AD192" s="1178"/>
      <c r="AE192" s="1178"/>
      <c r="AF192" s="1178"/>
      <c r="AG192" s="1178"/>
      <c r="AH192" s="1178"/>
      <c r="AI192" s="1178"/>
      <c r="AJ192" s="1178"/>
      <c r="AK192" s="1178"/>
    </row>
    <row r="193" spans="1:63" ht="17.25" customHeight="1">
      <c r="A193" s="1766"/>
    </row>
    <row r="194" spans="1:63" ht="16.5" customHeight="1">
      <c r="A194" s="1756"/>
      <c r="B194" s="1757"/>
      <c r="C194" s="1761"/>
      <c r="D194" s="2734"/>
      <c r="E194" s="2415"/>
      <c r="F194" s="2415"/>
      <c r="G194" s="2363"/>
      <c r="H194" s="2384"/>
      <c r="I194" s="2386"/>
      <c r="J194" s="2388"/>
      <c r="K194" s="2373"/>
      <c r="L194" s="2373"/>
      <c r="M194" s="2373"/>
      <c r="N194" s="2375"/>
      <c r="O194" s="2373"/>
      <c r="P194" s="2373"/>
      <c r="Q194" s="2373"/>
      <c r="R194" s="2378"/>
      <c r="S194" s="2373"/>
      <c r="T194" s="1701"/>
      <c r="U194" s="1701"/>
      <c r="V194" s="1768"/>
      <c r="W194" s="1215"/>
    </row>
    <row r="195" spans="1:63" ht="16.5" customHeight="1">
      <c r="A195" s="1756"/>
      <c r="B195" s="1757"/>
      <c r="C195" s="1761"/>
      <c r="D195" s="2734"/>
      <c r="E195" s="2415"/>
      <c r="F195" s="2415"/>
      <c r="G195" s="2363"/>
      <c r="H195" s="2385"/>
      <c r="I195" s="2387"/>
      <c r="J195" s="2389"/>
      <c r="K195" s="2374"/>
      <c r="L195" s="2374"/>
      <c r="M195" s="2374"/>
      <c r="N195" s="2376"/>
      <c r="O195" s="2374"/>
      <c r="P195" s="2374"/>
      <c r="Q195" s="2374"/>
      <c r="R195" s="2377"/>
      <c r="S195" s="2374"/>
      <c r="T195" s="1216"/>
      <c r="U195" s="1216"/>
      <c r="V195" s="1216"/>
      <c r="W195" s="1217"/>
    </row>
    <row r="196" spans="1:63" ht="17.25" customHeight="1">
      <c r="A196" s="1756"/>
      <c r="B196" s="1757"/>
      <c r="C196" s="1761"/>
      <c r="D196" s="2734"/>
      <c r="E196" s="2415"/>
      <c r="F196" s="2415"/>
      <c r="G196" s="2363"/>
      <c r="H196" s="2385"/>
      <c r="I196" s="2387"/>
      <c r="J196" s="2390"/>
      <c r="K196" s="2374"/>
      <c r="L196" s="2374"/>
      <c r="M196" s="2374"/>
      <c r="N196" s="2377"/>
      <c r="O196" s="2374"/>
      <c r="P196" s="1704"/>
      <c r="Q196" s="1216"/>
      <c r="R196" s="1216"/>
      <c r="S196" s="1769"/>
      <c r="T196" s="1769"/>
      <c r="U196" s="1769"/>
      <c r="V196" s="1769"/>
      <c r="W196" s="1217"/>
    </row>
    <row r="197" spans="1:63" ht="17.25" customHeight="1">
      <c r="A197" s="1756"/>
      <c r="B197" s="1757"/>
      <c r="C197" s="1761"/>
      <c r="D197" s="2734"/>
      <c r="E197" s="2415"/>
      <c r="F197" s="2415"/>
      <c r="G197" s="2363"/>
      <c r="H197" s="2385"/>
      <c r="I197" s="2387"/>
      <c r="J197" s="2390"/>
      <c r="K197" s="2374"/>
      <c r="L197" s="1216"/>
      <c r="M197" s="1216"/>
      <c r="N197" s="1216"/>
      <c r="O197" s="1216"/>
      <c r="P197" s="1216"/>
      <c r="Q197" s="1216"/>
      <c r="R197" s="1216"/>
      <c r="S197" s="1769"/>
      <c r="T197" s="1769"/>
      <c r="U197" s="1769"/>
      <c r="V197" s="1769"/>
      <c r="W197" s="1217"/>
    </row>
    <row r="198" spans="1:63" ht="17.25" customHeight="1">
      <c r="A198" s="1756"/>
      <c r="B198" s="1757"/>
      <c r="C198" s="1761"/>
      <c r="D198" s="2734"/>
      <c r="E198" s="2415"/>
      <c r="F198" s="2415"/>
      <c r="G198" s="2363"/>
      <c r="H198" s="1218"/>
      <c r="I198" s="1219"/>
      <c r="J198" s="1219"/>
      <c r="K198" s="1219"/>
      <c r="L198" s="1219"/>
      <c r="M198" s="1219"/>
      <c r="N198" s="1219"/>
      <c r="O198" s="1219"/>
      <c r="P198" s="1219"/>
      <c r="Q198" s="1219"/>
      <c r="R198" s="1219"/>
      <c r="S198" s="1770"/>
      <c r="T198" s="1770"/>
      <c r="U198" s="1770"/>
      <c r="V198" s="1770"/>
      <c r="W198" s="1221"/>
    </row>
    <row r="200" spans="1:63" s="2306" customFormat="1" ht="17.25" customHeight="1">
      <c r="A200" s="1733" t="s">
        <v>1963</v>
      </c>
    </row>
    <row r="201" spans="1:63" ht="17.25" customHeight="1">
      <c r="G201" s="1755"/>
      <c r="H201" s="1755"/>
      <c r="I201" s="1755"/>
      <c r="M201" s="1751"/>
    </row>
    <row r="202" spans="1:63" s="2248" customFormat="1" ht="15" customHeight="1">
      <c r="D202" s="2728"/>
      <c r="E202" s="2432"/>
      <c r="F202" s="2432"/>
      <c r="G202" s="2421"/>
      <c r="H202" s="1483"/>
      <c r="I202" s="2732">
        <v>1</v>
      </c>
      <c r="J202" s="2719"/>
      <c r="K202" s="1498"/>
      <c r="L202" s="2421" t="s">
        <v>64</v>
      </c>
      <c r="M202" s="2421" t="s">
        <v>64</v>
      </c>
      <c r="N202" s="1483"/>
      <c r="O202" s="2345" t="s">
        <v>108</v>
      </c>
      <c r="P202" s="2648"/>
      <c r="Q202" s="1499"/>
      <c r="R202" s="2421" t="s">
        <v>64</v>
      </c>
      <c r="S202" s="2421" t="s">
        <v>64</v>
      </c>
      <c r="T202" s="1771"/>
      <c r="U202" s="2345" t="s">
        <v>108</v>
      </c>
      <c r="V202" s="2729" t="str">
        <f>IF(AK202="","",INDEX(TERRITORY_MR_LIST,MATCH(AK202,TERRITORY_LIST_ID,0)))</f>
        <v/>
      </c>
      <c r="W202" s="1500"/>
      <c r="X202" s="2421" t="s">
        <v>64</v>
      </c>
      <c r="Y202" s="2421" t="s">
        <v>19</v>
      </c>
      <c r="Z202" s="1483"/>
      <c r="AA202" s="2345" t="s">
        <v>108</v>
      </c>
      <c r="AB202" s="2731"/>
      <c r="AC202" s="1501"/>
      <c r="AD202" s="2421" t="s">
        <v>64</v>
      </c>
      <c r="AE202" s="2421" t="s">
        <v>19</v>
      </c>
      <c r="AF202" s="1481"/>
      <c r="AG202" s="1729" t="s">
        <v>108</v>
      </c>
      <c r="AH202" s="1491"/>
      <c r="AI202" s="1719"/>
    </row>
    <row r="203" spans="1:63" s="2248" customFormat="1" ht="15" customHeight="1">
      <c r="D203" s="2728"/>
      <c r="E203" s="2432"/>
      <c r="F203" s="2432"/>
      <c r="G203" s="2422"/>
      <c r="H203" s="1483"/>
      <c r="I203" s="2732"/>
      <c r="J203" s="2719"/>
      <c r="K203" s="1482"/>
      <c r="L203" s="2422"/>
      <c r="M203" s="2422"/>
      <c r="N203" s="1483"/>
      <c r="O203" s="2345"/>
      <c r="P203" s="2648"/>
      <c r="Q203" s="1479"/>
      <c r="R203" s="2422"/>
      <c r="S203" s="2422"/>
      <c r="T203" s="1771"/>
      <c r="U203" s="2345"/>
      <c r="V203" s="2730"/>
      <c r="W203" s="1480"/>
      <c r="X203" s="2422"/>
      <c r="Y203" s="2422"/>
      <c r="Z203" s="1483"/>
      <c r="AA203" s="2345"/>
      <c r="AB203" s="2714"/>
      <c r="AC203" s="1484"/>
      <c r="AD203" s="2349"/>
      <c r="AE203" s="2349"/>
      <c r="AF203" s="1485"/>
      <c r="AG203" s="1486"/>
      <c r="AH203" s="2723" t="s">
        <v>1964</v>
      </c>
      <c r="AI203" s="2724"/>
    </row>
    <row r="204" spans="1:63" s="2248" customFormat="1" ht="15" customHeight="1">
      <c r="D204" s="2728"/>
      <c r="E204" s="2432"/>
      <c r="F204" s="2432"/>
      <c r="G204" s="2422"/>
      <c r="H204" s="1483"/>
      <c r="I204" s="2732"/>
      <c r="J204" s="2719"/>
      <c r="K204" s="1482"/>
      <c r="L204" s="2422"/>
      <c r="M204" s="2422"/>
      <c r="N204" s="1483"/>
      <c r="O204" s="2345"/>
      <c r="P204" s="2648"/>
      <c r="Q204" s="1479"/>
      <c r="R204" s="2422"/>
      <c r="S204" s="2422"/>
      <c r="T204" s="1771"/>
      <c r="U204" s="2345"/>
      <c r="V204" s="2730"/>
      <c r="W204" s="1480"/>
      <c r="X204" s="2422"/>
      <c r="Y204" s="2422"/>
      <c r="Z204" s="1522"/>
      <c r="AA204" s="1488"/>
      <c r="AB204" s="2725" t="s">
        <v>1965</v>
      </c>
      <c r="AC204" s="2725"/>
      <c r="AD204" s="2725"/>
      <c r="AE204" s="2725"/>
      <c r="AF204" s="2725"/>
      <c r="AG204" s="2725"/>
      <c r="AH204" s="2725"/>
      <c r="AI204" s="2726"/>
    </row>
    <row r="205" spans="1:63" s="2248" customFormat="1" ht="15" customHeight="1">
      <c r="D205" s="2728"/>
      <c r="E205" s="2432"/>
      <c r="F205" s="2432"/>
      <c r="G205" s="2422"/>
      <c r="H205" s="1483"/>
      <c r="I205" s="2732"/>
      <c r="J205" s="2719"/>
      <c r="K205" s="1482"/>
      <c r="L205" s="2422"/>
      <c r="M205" s="2422"/>
      <c r="N205" s="1483"/>
      <c r="O205" s="2345"/>
      <c r="P205" s="2727"/>
      <c r="Q205" s="1479"/>
      <c r="R205" s="2422"/>
      <c r="S205" s="2422"/>
      <c r="T205" s="1772"/>
      <c r="U205" s="1523"/>
      <c r="V205" s="2723" t="s">
        <v>102</v>
      </c>
      <c r="W205" s="2723"/>
      <c r="X205" s="2723"/>
      <c r="Y205" s="2723"/>
      <c r="Z205" s="2723"/>
      <c r="AA205" s="2723"/>
      <c r="AB205" s="2723"/>
      <c r="AC205" s="2723"/>
      <c r="AD205" s="2723"/>
      <c r="AE205" s="2723"/>
      <c r="AF205" s="2723"/>
      <c r="AG205" s="2723"/>
      <c r="AH205" s="2723"/>
      <c r="AI205" s="2724"/>
    </row>
    <row r="206" spans="1:63" s="2248" customFormat="1" ht="11.25" customHeight="1">
      <c r="D206" s="2728"/>
      <c r="E206" s="2432"/>
      <c r="F206" s="2432"/>
      <c r="G206" s="2422"/>
      <c r="H206" s="1487"/>
      <c r="I206" s="2732"/>
      <c r="J206" s="2733"/>
      <c r="K206" s="1482"/>
      <c r="L206" s="2422"/>
      <c r="M206" s="2422"/>
      <c r="N206" s="1487"/>
      <c r="O206" s="1488"/>
      <c r="P206" s="2723" t="s">
        <v>1966</v>
      </c>
      <c r="Q206" s="2723"/>
      <c r="R206" s="2723"/>
      <c r="S206" s="2723"/>
      <c r="T206" s="2723"/>
      <c r="U206" s="2723"/>
      <c r="V206" s="2723"/>
      <c r="W206" s="2723"/>
      <c r="X206" s="2723"/>
      <c r="Y206" s="2723"/>
      <c r="Z206" s="2723"/>
      <c r="AA206" s="2723"/>
      <c r="AB206" s="2723"/>
      <c r="AC206" s="2723"/>
      <c r="AD206" s="2723"/>
      <c r="AE206" s="2723"/>
      <c r="AF206" s="2723"/>
      <c r="AG206" s="2723"/>
      <c r="AH206" s="2723"/>
      <c r="AI206" s="2724"/>
    </row>
    <row r="207" spans="1:63" s="2260" customFormat="1" ht="11.25" customHeight="1">
      <c r="D207" s="2728"/>
      <c r="E207" s="2432"/>
      <c r="F207" s="2432"/>
      <c r="G207" s="2349"/>
      <c r="H207" s="1489"/>
      <c r="I207" s="1490"/>
      <c r="J207" s="2723" t="s">
        <v>446</v>
      </c>
      <c r="K207" s="2723"/>
      <c r="L207" s="2723"/>
      <c r="M207" s="2723"/>
      <c r="N207" s="2723"/>
      <c r="O207" s="2723"/>
      <c r="P207" s="2723"/>
      <c r="Q207" s="2723"/>
      <c r="R207" s="2723"/>
      <c r="S207" s="2723"/>
      <c r="T207" s="2723"/>
      <c r="U207" s="2723"/>
      <c r="V207" s="2723"/>
      <c r="W207" s="2723"/>
      <c r="X207" s="2723"/>
      <c r="Y207" s="2723"/>
      <c r="Z207" s="2723"/>
      <c r="AA207" s="2723"/>
      <c r="AB207" s="2723"/>
      <c r="AC207" s="2723"/>
      <c r="AD207" s="2723"/>
      <c r="AE207" s="2723"/>
      <c r="AF207" s="2723"/>
      <c r="AG207" s="2723"/>
      <c r="AH207" s="2723"/>
      <c r="AI207" s="2724"/>
      <c r="BK207" s="1493"/>
    </row>
    <row r="208" spans="1:63" ht="17.25" customHeight="1">
      <c r="G208" s="1755"/>
      <c r="I208" s="1755"/>
      <c r="J208" s="1755"/>
      <c r="N208" s="1751"/>
    </row>
    <row r="209" spans="1:63" s="2248" customFormat="1" ht="15" customHeight="1">
      <c r="D209" s="2728"/>
      <c r="E209" s="2432"/>
      <c r="F209" s="2432"/>
      <c r="G209" s="2415"/>
      <c r="H209" s="1518"/>
      <c r="I209" s="2417"/>
      <c r="J209" s="2388"/>
      <c r="K209" s="1703"/>
      <c r="L209" s="2373"/>
      <c r="M209" s="2373"/>
      <c r="N209" s="1503"/>
      <c r="O209" s="2373"/>
      <c r="P209" s="2388"/>
      <c r="Q209" s="1707"/>
      <c r="R209" s="2373"/>
      <c r="S209" s="2373"/>
      <c r="T209" s="1773"/>
      <c r="U209" s="2373"/>
      <c r="V209" s="2388"/>
      <c r="W209" s="1506"/>
      <c r="X209" s="2373"/>
      <c r="Y209" s="2373"/>
      <c r="Z209" s="1503"/>
      <c r="AA209" s="2373"/>
      <c r="AB209" s="2388"/>
      <c r="AC209" s="1507"/>
      <c r="AD209" s="2373"/>
      <c r="AE209" s="2373"/>
      <c r="AF209" s="1701"/>
      <c r="AG209" s="1701"/>
      <c r="AH209" s="1508"/>
      <c r="AI209" s="1215"/>
    </row>
    <row r="210" spans="1:63" s="2248" customFormat="1" ht="15" customHeight="1">
      <c r="D210" s="2728"/>
      <c r="E210" s="2432"/>
      <c r="F210" s="2432"/>
      <c r="G210" s="2415"/>
      <c r="H210" s="1519"/>
      <c r="I210" s="2418"/>
      <c r="J210" s="2389"/>
      <c r="K210" s="1529"/>
      <c r="L210" s="2374"/>
      <c r="M210" s="2374"/>
      <c r="N210" s="1509"/>
      <c r="O210" s="2374"/>
      <c r="P210" s="2389"/>
      <c r="Q210" s="1708"/>
      <c r="R210" s="2374"/>
      <c r="S210" s="2374"/>
      <c r="T210" s="1774"/>
      <c r="U210" s="2374"/>
      <c r="V210" s="2389"/>
      <c r="W210" s="1512"/>
      <c r="X210" s="2374"/>
      <c r="Y210" s="2374"/>
      <c r="Z210" s="1509"/>
      <c r="AA210" s="2374"/>
      <c r="AB210" s="2389"/>
      <c r="AC210" s="1513"/>
      <c r="AD210" s="2374"/>
      <c r="AE210" s="2374"/>
      <c r="AF210" s="1706"/>
      <c r="AG210" s="1706"/>
      <c r="AH210" s="2413"/>
      <c r="AI210" s="2414"/>
    </row>
    <row r="211" spans="1:63" s="2248" customFormat="1" ht="15" customHeight="1">
      <c r="D211" s="2728"/>
      <c r="E211" s="2432"/>
      <c r="F211" s="2432"/>
      <c r="G211" s="2415"/>
      <c r="H211" s="1519"/>
      <c r="I211" s="2418"/>
      <c r="J211" s="2389"/>
      <c r="K211" s="1529"/>
      <c r="L211" s="2374"/>
      <c r="M211" s="2374"/>
      <c r="N211" s="1509"/>
      <c r="O211" s="2374"/>
      <c r="P211" s="2389"/>
      <c r="Q211" s="1708"/>
      <c r="R211" s="2374"/>
      <c r="S211" s="2374"/>
      <c r="T211" s="1774"/>
      <c r="U211" s="2374"/>
      <c r="V211" s="2389"/>
      <c r="W211" s="1512"/>
      <c r="X211" s="2374"/>
      <c r="Y211" s="2374"/>
      <c r="Z211" s="1704"/>
      <c r="AA211" s="1706"/>
      <c r="AB211" s="2413"/>
      <c r="AC211" s="2413"/>
      <c r="AD211" s="2413"/>
      <c r="AE211" s="2413"/>
      <c r="AF211" s="2413"/>
      <c r="AG211" s="2413"/>
      <c r="AH211" s="2413"/>
      <c r="AI211" s="2414"/>
    </row>
    <row r="212" spans="1:63" s="2248" customFormat="1" ht="15" customHeight="1">
      <c r="D212" s="2728"/>
      <c r="E212" s="2432"/>
      <c r="F212" s="2432"/>
      <c r="G212" s="2415"/>
      <c r="H212" s="1519"/>
      <c r="I212" s="2418"/>
      <c r="J212" s="2389"/>
      <c r="K212" s="1529"/>
      <c r="L212" s="2374"/>
      <c r="M212" s="2374"/>
      <c r="N212" s="1509"/>
      <c r="O212" s="2374"/>
      <c r="P212" s="2389"/>
      <c r="Q212" s="1708"/>
      <c r="R212" s="2374"/>
      <c r="S212" s="2374"/>
      <c r="T212" s="1775"/>
      <c r="U212" s="1516"/>
      <c r="V212" s="2413"/>
      <c r="W212" s="2413"/>
      <c r="X212" s="2413"/>
      <c r="Y212" s="2413"/>
      <c r="Z212" s="2413"/>
      <c r="AA212" s="2413"/>
      <c r="AB212" s="2413"/>
      <c r="AC212" s="2413"/>
      <c r="AD212" s="2413"/>
      <c r="AE212" s="2413"/>
      <c r="AF212" s="2413"/>
      <c r="AG212" s="2413"/>
      <c r="AH212" s="2413"/>
      <c r="AI212" s="2414"/>
    </row>
    <row r="213" spans="1:63" s="2248" customFormat="1" ht="11.25" customHeight="1">
      <c r="D213" s="2728"/>
      <c r="E213" s="2432"/>
      <c r="F213" s="2432"/>
      <c r="G213" s="2415"/>
      <c r="H213" s="1520"/>
      <c r="I213" s="2418"/>
      <c r="J213" s="2389"/>
      <c r="K213" s="1529"/>
      <c r="L213" s="2374"/>
      <c r="M213" s="2374"/>
      <c r="N213" s="1706"/>
      <c r="O213" s="1706"/>
      <c r="P213" s="2413"/>
      <c r="Q213" s="2413"/>
      <c r="R213" s="2413"/>
      <c r="S213" s="2413"/>
      <c r="T213" s="2413"/>
      <c r="U213" s="2413"/>
      <c r="V213" s="2413"/>
      <c r="W213" s="2413"/>
      <c r="X213" s="2413"/>
      <c r="Y213" s="2413"/>
      <c r="Z213" s="2413"/>
      <c r="AA213" s="2413"/>
      <c r="AB213" s="2413"/>
      <c r="AC213" s="2413"/>
      <c r="AD213" s="2413"/>
      <c r="AE213" s="2413"/>
      <c r="AF213" s="2413"/>
      <c r="AG213" s="2413"/>
      <c r="AH213" s="2413"/>
      <c r="AI213" s="2414"/>
    </row>
    <row r="214" spans="1:63" s="2260" customFormat="1" ht="11.25" customHeight="1">
      <c r="D214" s="2728"/>
      <c r="E214" s="2432"/>
      <c r="F214" s="2432"/>
      <c r="G214" s="2420"/>
      <c r="H214" s="1517"/>
      <c r="I214" s="1521"/>
      <c r="J214" s="2423"/>
      <c r="K214" s="2423"/>
      <c r="L214" s="2423"/>
      <c r="M214" s="2423"/>
      <c r="N214" s="2423"/>
      <c r="O214" s="2423"/>
      <c r="P214" s="2423"/>
      <c r="Q214" s="2423"/>
      <c r="R214" s="2423"/>
      <c r="S214" s="2423"/>
      <c r="T214" s="2423"/>
      <c r="U214" s="2423"/>
      <c r="V214" s="2423"/>
      <c r="W214" s="2423"/>
      <c r="X214" s="2423"/>
      <c r="Y214" s="2423"/>
      <c r="Z214" s="2423"/>
      <c r="AA214" s="2423"/>
      <c r="AB214" s="2423"/>
      <c r="AC214" s="2423"/>
      <c r="AD214" s="2423"/>
      <c r="AE214" s="2423"/>
      <c r="AF214" s="2423"/>
      <c r="AG214" s="2423"/>
      <c r="AH214" s="2423"/>
      <c r="AI214" s="2424"/>
      <c r="BK214" s="1493"/>
    </row>
    <row r="215" spans="1:63" ht="17.25" customHeight="1">
      <c r="A215" s="1766"/>
    </row>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307"/>
    <col min="2" max="2" width="43.140625" style="2307" hidden="1"/>
    <col min="3" max="3" width="43.140625" style="2307"/>
    <col min="4" max="5" width="36.42578125" style="2307" customWidth="1"/>
    <col min="6" max="8" width="36.42578125" style="2308" customWidth="1"/>
  </cols>
  <sheetData>
    <row r="1" spans="1:8" ht="9" customHeight="1">
      <c r="A1" s="774" t="s">
        <v>1967</v>
      </c>
      <c r="B1" s="774"/>
      <c r="C1" s="907" t="s">
        <v>1968</v>
      </c>
      <c r="D1" s="906" t="s">
        <v>808</v>
      </c>
      <c r="E1" s="906" t="s">
        <v>854</v>
      </c>
      <c r="F1" s="906" t="s">
        <v>907</v>
      </c>
      <c r="G1" s="906" t="s">
        <v>894</v>
      </c>
      <c r="H1" s="906" t="s">
        <v>1648</v>
      </c>
    </row>
    <row r="2" spans="1:8" ht="9" customHeight="1">
      <c r="A2" s="908" t="s">
        <v>1969</v>
      </c>
      <c r="B2" s="908"/>
      <c r="C2" s="909" t="str">
        <f>INDEX(TEMPLATE_NUMBER_FORM_LIST,MATCH(TEMPLATE_SPHERE,TEMPLATE_SPHERE_LIST,0))</f>
        <v>10</v>
      </c>
      <c r="D2" s="908" t="s">
        <v>1498</v>
      </c>
      <c r="E2" s="908" t="s">
        <v>149</v>
      </c>
      <c r="F2" s="910" t="s">
        <v>149</v>
      </c>
      <c r="G2" s="908" t="s">
        <v>149</v>
      </c>
      <c r="H2" s="911"/>
    </row>
    <row r="3" spans="1:8" ht="63" customHeight="1">
      <c r="A3" s="774"/>
      <c r="B3" s="774" t="s">
        <v>108</v>
      </c>
      <c r="C3" s="909"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09" t="s">
        <v>1970</v>
      </c>
      <c r="E3" s="909"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10"/>
      <c r="G3" s="911"/>
      <c r="H3" s="774"/>
    </row>
    <row r="4" spans="1:8" ht="243" customHeight="1">
      <c r="A4" s="774" t="s">
        <v>1971</v>
      </c>
      <c r="B4" s="774" t="s">
        <v>109</v>
      </c>
      <c r="C4" s="909" t="str">
        <f>IF(TEMPLATE_SPHERE="HEAT",D4,IF(TEMPLATE_SPHERE="TKO",H4,E4))</f>
        <v>Форма 1. Информация об организации, осуществляющей водоотведение (общая информация)</v>
      </c>
      <c r="D4" s="908" t="s">
        <v>1972</v>
      </c>
      <c r="E4" s="909"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08"/>
      <c r="G4" s="908"/>
      <c r="H4" s="774" t="s">
        <v>1973</v>
      </c>
    </row>
    <row r="5" spans="1:8" ht="117" customHeight="1">
      <c r="A5" s="774" t="s">
        <v>1974</v>
      </c>
      <c r="B5" s="774" t="s">
        <v>89</v>
      </c>
      <c r="C5" s="909"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74" t="s">
        <v>1975</v>
      </c>
      <c r="E5" s="777"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11"/>
      <c r="G5" s="911"/>
      <c r="H5" s="774" t="s">
        <v>1976</v>
      </c>
    </row>
    <row r="6" spans="1:8" ht="90" customHeight="1">
      <c r="A6" s="774" t="s">
        <v>1977</v>
      </c>
      <c r="B6" s="774" t="s">
        <v>90</v>
      </c>
      <c r="C6" s="909"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77"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7"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74"/>
      <c r="G6" s="774"/>
      <c r="H6" s="911"/>
    </row>
    <row r="7" spans="1:8" ht="45" customHeight="1">
      <c r="A7" s="774" t="s">
        <v>1978</v>
      </c>
      <c r="B7" s="774" t="s">
        <v>110</v>
      </c>
      <c r="C7" s="909"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4" t="s">
        <v>1979</v>
      </c>
      <c r="E7" s="774" t="s">
        <v>1980</v>
      </c>
      <c r="F7" s="911"/>
      <c r="G7" s="911"/>
      <c r="H7" s="911"/>
    </row>
    <row r="8" spans="1:8" ht="108" customHeight="1">
      <c r="A8" s="774" t="s">
        <v>1981</v>
      </c>
      <c r="B8" s="774" t="s">
        <v>91</v>
      </c>
      <c r="C8" s="909"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4" t="s">
        <v>1192</v>
      </c>
      <c r="E8" s="774" t="s">
        <v>1982</v>
      </c>
      <c r="F8" s="911"/>
      <c r="G8" s="911"/>
      <c r="H8" s="911"/>
    </row>
    <row r="9" spans="1:8" ht="99" customHeight="1">
      <c r="A9" s="774" t="s">
        <v>1983</v>
      </c>
      <c r="B9" s="774"/>
      <c r="C9" s="774" t="s">
        <v>1984</v>
      </c>
      <c r="D9" s="774"/>
      <c r="E9" s="774"/>
      <c r="F9" s="911"/>
      <c r="G9" s="911"/>
      <c r="H9" s="911"/>
    </row>
    <row r="10" spans="1:8" ht="126" customHeight="1">
      <c r="A10" s="774" t="s">
        <v>1985</v>
      </c>
      <c r="B10" s="774"/>
      <c r="C10" s="774" t="s">
        <v>1986</v>
      </c>
      <c r="D10" s="774"/>
      <c r="E10" s="774"/>
      <c r="F10" s="911"/>
      <c r="G10" s="911"/>
      <c r="H10" s="911"/>
    </row>
    <row r="11" spans="1:8" ht="108" customHeight="1">
      <c r="A11" s="774" t="s">
        <v>1987</v>
      </c>
      <c r="B11" s="774"/>
      <c r="C11" s="774" t="s">
        <v>1988</v>
      </c>
      <c r="D11" s="774"/>
      <c r="E11" s="774"/>
      <c r="F11" s="911"/>
      <c r="G11" s="911"/>
      <c r="H11" s="911"/>
    </row>
    <row r="12" spans="1:8" ht="54" customHeight="1">
      <c r="A12" s="774" t="s">
        <v>1989</v>
      </c>
      <c r="B12" s="774"/>
      <c r="C12" s="774" t="s">
        <v>1990</v>
      </c>
      <c r="D12" s="774"/>
      <c r="E12" s="774"/>
      <c r="F12" s="911"/>
      <c r="G12" s="911"/>
      <c r="H12" s="911"/>
    </row>
    <row r="13" spans="1:8" ht="45" customHeight="1">
      <c r="A13" s="774" t="s">
        <v>1991</v>
      </c>
      <c r="B13" s="774"/>
      <c r="C13" s="774" t="s">
        <v>1992</v>
      </c>
      <c r="D13" s="774"/>
      <c r="E13" s="774"/>
      <c r="F13" s="911"/>
      <c r="G13" s="911"/>
      <c r="H13" s="911"/>
    </row>
    <row r="14" spans="1:8" ht="117" customHeight="1">
      <c r="A14" s="774" t="s">
        <v>1993</v>
      </c>
      <c r="B14" s="774"/>
      <c r="C14" s="774" t="s">
        <v>1994</v>
      </c>
      <c r="D14" s="774"/>
      <c r="E14" s="774"/>
      <c r="F14" s="911"/>
      <c r="G14" s="911"/>
      <c r="H14" s="911"/>
    </row>
    <row r="15" spans="1:8" ht="117" customHeight="1">
      <c r="A15" s="774" t="s">
        <v>1995</v>
      </c>
      <c r="B15" s="774"/>
      <c r="C15" s="774" t="s">
        <v>1996</v>
      </c>
      <c r="D15" s="774"/>
      <c r="E15" s="774"/>
      <c r="F15" s="911"/>
      <c r="G15" s="911"/>
      <c r="H15" s="911"/>
    </row>
    <row r="16" spans="1:8" ht="63" customHeight="1">
      <c r="A16" s="774" t="s">
        <v>1997</v>
      </c>
      <c r="B16" s="774"/>
      <c r="C16" s="774" t="s">
        <v>1998</v>
      </c>
      <c r="D16" s="774"/>
      <c r="E16" s="774"/>
      <c r="F16" s="911"/>
      <c r="G16" s="911"/>
      <c r="H16" s="911"/>
    </row>
    <row r="17" spans="1:8" ht="54" customHeight="1">
      <c r="A17" s="774" t="s">
        <v>1999</v>
      </c>
      <c r="B17" s="774"/>
      <c r="C17" s="909" t="s">
        <v>2000</v>
      </c>
      <c r="D17" s="774"/>
      <c r="E17" s="774"/>
      <c r="F17" s="911"/>
      <c r="G17" s="911"/>
      <c r="H17" s="911"/>
    </row>
    <row r="18" spans="1:8" ht="27" customHeight="1">
      <c r="A18" s="774" t="s">
        <v>2001</v>
      </c>
      <c r="B18" s="774"/>
      <c r="C18" s="909" t="s">
        <v>2002</v>
      </c>
      <c r="D18" s="774"/>
      <c r="E18" s="774"/>
      <c r="F18" s="911"/>
      <c r="G18" s="911"/>
      <c r="H18" s="911"/>
    </row>
    <row r="19" spans="1:8" ht="54" customHeight="1">
      <c r="A19" s="774" t="s">
        <v>2003</v>
      </c>
      <c r="B19" s="774"/>
      <c r="C19" s="909" t="s">
        <v>2004</v>
      </c>
      <c r="D19" s="774"/>
      <c r="E19" s="774"/>
      <c r="F19" s="911"/>
      <c r="G19" s="911"/>
      <c r="H19" s="911"/>
    </row>
    <row r="20" spans="1:8" ht="36" customHeight="1">
      <c r="A20" s="774" t="s">
        <v>2005</v>
      </c>
      <c r="B20" s="774"/>
      <c r="C20" s="909" t="s">
        <v>2006</v>
      </c>
      <c r="D20" s="774"/>
      <c r="E20" s="774"/>
      <c r="F20" s="911"/>
      <c r="G20" s="911"/>
      <c r="H20" s="911"/>
    </row>
    <row r="21" spans="1:8" ht="36" customHeight="1">
      <c r="A21" s="774" t="s">
        <v>2007</v>
      </c>
      <c r="B21" s="774"/>
      <c r="C21" s="909" t="s">
        <v>2008</v>
      </c>
      <c r="D21" s="774"/>
      <c r="E21" s="774"/>
      <c r="F21" s="911"/>
      <c r="G21" s="911"/>
      <c r="H21" s="911"/>
    </row>
    <row r="22" spans="1:8" ht="27" customHeight="1">
      <c r="A22" s="774" t="s">
        <v>2009</v>
      </c>
      <c r="B22" s="774"/>
      <c r="C22" s="909" t="s">
        <v>2010</v>
      </c>
      <c r="D22" s="774"/>
      <c r="E22" s="774"/>
      <c r="F22" s="911"/>
      <c r="G22" s="911"/>
      <c r="H22" s="911"/>
    </row>
    <row r="23" spans="1:8" ht="36" customHeight="1">
      <c r="A23" s="774" t="s">
        <v>2011</v>
      </c>
      <c r="B23" s="774"/>
      <c r="C23" s="909" t="s">
        <v>2012</v>
      </c>
      <c r="D23" s="774"/>
      <c r="E23" s="774"/>
      <c r="F23" s="911"/>
      <c r="G23" s="911"/>
      <c r="H23" s="911"/>
    </row>
    <row r="24" spans="1:8" ht="28.5" customHeight="1">
      <c r="A24" s="774" t="s">
        <v>2013</v>
      </c>
      <c r="B24" s="774"/>
      <c r="C24" s="909" t="s">
        <v>2014</v>
      </c>
      <c r="D24" s="774"/>
      <c r="E24" s="774"/>
      <c r="F24" s="911"/>
      <c r="G24" s="911"/>
      <c r="H24" s="911"/>
    </row>
    <row r="25" spans="1:8" ht="36" customHeight="1">
      <c r="A25" s="774" t="s">
        <v>2015</v>
      </c>
      <c r="B25" s="774"/>
      <c r="C25" s="909" t="s">
        <v>2016</v>
      </c>
      <c r="D25" s="774"/>
      <c r="E25" s="774"/>
      <c r="F25" s="911"/>
      <c r="G25" s="911"/>
      <c r="H25" s="911"/>
    </row>
    <row r="26" spans="1:8" ht="27" customHeight="1">
      <c r="A26" s="774" t="s">
        <v>2017</v>
      </c>
      <c r="B26" s="774"/>
      <c r="C26" s="909" t="s">
        <v>2018</v>
      </c>
      <c r="D26" s="774"/>
      <c r="E26" s="774"/>
      <c r="F26" s="911"/>
      <c r="G26" s="911"/>
      <c r="H26" s="911"/>
    </row>
    <row r="27" spans="1:8" ht="36" customHeight="1">
      <c r="A27" s="774" t="s">
        <v>2019</v>
      </c>
      <c r="B27" s="774"/>
      <c r="C27" s="909" t="s">
        <v>2020</v>
      </c>
      <c r="D27" s="774"/>
      <c r="E27" s="774"/>
      <c r="F27" s="911"/>
      <c r="G27" s="911"/>
      <c r="H27" s="911"/>
    </row>
    <row r="28" spans="1:8" ht="28.5" customHeight="1">
      <c r="A28" s="774" t="s">
        <v>2021</v>
      </c>
      <c r="B28" s="774"/>
      <c r="C28" s="909" t="s">
        <v>2022</v>
      </c>
      <c r="D28" s="774"/>
      <c r="E28" s="774"/>
      <c r="F28" s="911"/>
      <c r="G28" s="911"/>
      <c r="H28" s="911"/>
    </row>
    <row r="29" spans="1:8" ht="126" customHeight="1">
      <c r="A29" s="774" t="s">
        <v>2023</v>
      </c>
      <c r="B29" s="774" t="s">
        <v>1599</v>
      </c>
      <c r="C29" s="909"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74" t="s">
        <v>2024</v>
      </c>
      <c r="E29" s="777"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11"/>
      <c r="G29" s="911"/>
      <c r="H29" s="774" t="s">
        <v>2025</v>
      </c>
    </row>
    <row r="30" spans="1:8" ht="36" customHeight="1">
      <c r="A30" s="774" t="s">
        <v>2026</v>
      </c>
      <c r="B30" s="774"/>
      <c r="C30" s="909"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74" t="s">
        <v>2027</v>
      </c>
      <c r="E30" s="777"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11"/>
      <c r="G30" s="911"/>
      <c r="H30" s="911"/>
    </row>
    <row r="31" spans="1:8" ht="54" customHeight="1">
      <c r="A31" s="774" t="s">
        <v>2028</v>
      </c>
      <c r="B31" s="774"/>
      <c r="C31" s="909" t="str">
        <f>IF(TEMPLATE_SPHERE="HEAT",D31,IF(TEMPLATE_SPHERE="TKO",H31,E31))</f>
        <v>Форма 1. Информация об организации, осуществляющей водоотведение (общая информация)</v>
      </c>
      <c r="D31" s="774" t="s">
        <v>2029</v>
      </c>
      <c r="E31" s="777"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11"/>
      <c r="G31" s="911"/>
      <c r="H31" s="911"/>
    </row>
    <row r="32" spans="1:8" ht="198" customHeight="1">
      <c r="A32" s="774" t="s">
        <v>2030</v>
      </c>
      <c r="B32" s="774"/>
      <c r="C32" s="909" t="str">
        <f>IF(TEMPLATE_SPHERE="HEAT",D32,IF(TEMPLATE_SPHERE="TKO",H32,E32))</f>
        <v>Форма 7. Информация об инвестиционных программах организации водоотведения и отчетах об их исполнении</v>
      </c>
      <c r="D32" s="774" t="s">
        <v>2031</v>
      </c>
      <c r="E32" s="777"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11"/>
      <c r="G32" s="911"/>
      <c r="H32" s="774" t="s">
        <v>2032</v>
      </c>
    </row>
    <row r="33" spans="1:8" ht="9" customHeight="1">
      <c r="A33" s="774"/>
      <c r="B33" s="774"/>
      <c r="C33" s="909"/>
      <c r="D33" s="774"/>
      <c r="E33" s="774"/>
      <c r="F33" s="911"/>
      <c r="G33" s="911"/>
      <c r="H33" s="911"/>
    </row>
    <row r="34" spans="1:8" ht="9" customHeight="1">
      <c r="A34" s="774"/>
      <c r="B34" s="774" t="s">
        <v>1536</v>
      </c>
      <c r="C34" s="909">
        <f>INDEX(TEMPLATE_NAME_FORM_LIST,B34,MATCH(TEMPLATE_SPHERE,TEMPLATE_SPHERE_LIST,0))</f>
        <v>0</v>
      </c>
      <c r="D34" s="774"/>
      <c r="E34" s="774"/>
      <c r="F34" s="911"/>
      <c r="G34" s="911"/>
      <c r="H34" s="911"/>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307"/>
    <col min="3" max="7" width="8" style="2310" customWidth="1"/>
    <col min="8" max="12" width="8.5703125" style="2310" customWidth="1"/>
    <col min="13" max="14" width="27.7109375" style="2310" customWidth="1"/>
    <col min="15" max="19" width="5.140625" style="2310" customWidth="1"/>
    <col min="20" max="24" width="27.7109375" style="2310" customWidth="1"/>
    <col min="25" max="25" width="1.85546875" style="2311" customWidth="1"/>
    <col min="26" max="26" width="27.7109375" style="2307" customWidth="1"/>
    <col min="27" max="27" width="27.7109375" style="2312" customWidth="1"/>
    <col min="28" max="29" width="27.7109375" style="2307" customWidth="1"/>
    <col min="30" max="30" width="3.85546875" style="2307" customWidth="1"/>
    <col min="31" max="34" width="9.140625" style="2307"/>
  </cols>
  <sheetData>
    <row r="1" spans="1:34" s="2309" customFormat="1" ht="18" customHeight="1">
      <c r="A1" s="824"/>
      <c r="B1" s="824"/>
      <c r="C1" s="824" t="s">
        <v>2033</v>
      </c>
      <c r="D1" s="824"/>
      <c r="E1" s="824"/>
      <c r="F1" s="824"/>
      <c r="G1" s="824"/>
      <c r="H1" s="824" t="s">
        <v>2034</v>
      </c>
      <c r="I1" s="824"/>
      <c r="J1" s="824"/>
      <c r="K1" s="824"/>
      <c r="L1" s="824"/>
      <c r="M1" s="824" t="s">
        <v>2035</v>
      </c>
      <c r="N1" s="824" t="s">
        <v>2036</v>
      </c>
      <c r="O1" s="2755" t="s">
        <v>2037</v>
      </c>
      <c r="P1" s="2755"/>
      <c r="Q1" s="2755"/>
      <c r="R1" s="2755"/>
      <c r="S1" s="2755"/>
      <c r="T1" s="2755" t="s">
        <v>2035</v>
      </c>
      <c r="U1" s="2755"/>
      <c r="V1" s="2755"/>
      <c r="W1" s="2755"/>
      <c r="X1" s="2755"/>
      <c r="Y1" s="924"/>
      <c r="Z1" s="2755" t="s">
        <v>2038</v>
      </c>
      <c r="AA1" s="2755"/>
      <c r="AB1" s="2755"/>
      <c r="AC1" s="2755"/>
      <c r="AD1" s="2755"/>
    </row>
    <row r="2" spans="1:34" ht="18" customHeight="1">
      <c r="A2" s="774"/>
      <c r="B2" s="774"/>
      <c r="C2" s="770" t="s">
        <v>808</v>
      </c>
      <c r="D2" s="770" t="s">
        <v>854</v>
      </c>
      <c r="E2" s="770" t="s">
        <v>907</v>
      </c>
      <c r="F2" s="770" t="s">
        <v>894</v>
      </c>
      <c r="G2" s="770" t="s">
        <v>1648</v>
      </c>
      <c r="H2" s="771"/>
      <c r="I2" s="771"/>
      <c r="J2" s="771"/>
      <c r="K2" s="771"/>
      <c r="L2" s="771"/>
      <c r="M2" s="771"/>
      <c r="N2" s="771"/>
      <c r="O2" s="770" t="s">
        <v>808</v>
      </c>
      <c r="P2" s="770" t="s">
        <v>854</v>
      </c>
      <c r="Q2" s="770" t="s">
        <v>894</v>
      </c>
      <c r="R2" s="770" t="s">
        <v>907</v>
      </c>
      <c r="S2" s="770" t="s">
        <v>1648</v>
      </c>
      <c r="T2" s="770" t="s">
        <v>808</v>
      </c>
      <c r="U2" s="770" t="s">
        <v>854</v>
      </c>
      <c r="V2" s="770" t="s">
        <v>894</v>
      </c>
      <c r="W2" s="770" t="s">
        <v>907</v>
      </c>
      <c r="X2" s="770" t="s">
        <v>1648</v>
      </c>
      <c r="Y2" s="770"/>
      <c r="Z2" s="770" t="s">
        <v>808</v>
      </c>
      <c r="AA2" s="778" t="s">
        <v>854</v>
      </c>
      <c r="AB2" s="770" t="s">
        <v>894</v>
      </c>
      <c r="AC2" s="770" t="s">
        <v>907</v>
      </c>
      <c r="AD2" s="770" t="s">
        <v>1648</v>
      </c>
    </row>
    <row r="3" spans="1:34" ht="162" customHeight="1">
      <c r="A3" s="773" t="s">
        <v>27</v>
      </c>
      <c r="B3" s="773"/>
      <c r="C3" s="2759" t="s">
        <v>2039</v>
      </c>
      <c r="D3" s="2760"/>
      <c r="E3" s="2760"/>
      <c r="F3" s="2761"/>
      <c r="G3" s="771"/>
      <c r="H3" s="771"/>
      <c r="I3" s="771"/>
      <c r="J3" s="771"/>
      <c r="K3" s="771"/>
      <c r="L3" s="771"/>
      <c r="M3" s="771"/>
      <c r="N3" s="772"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71"/>
      <c r="P3" s="771"/>
      <c r="Q3" s="771"/>
      <c r="R3" s="771"/>
      <c r="S3" s="771"/>
      <c r="T3" s="771"/>
      <c r="U3" s="771"/>
      <c r="V3" s="771"/>
      <c r="W3" s="771"/>
      <c r="X3" s="771"/>
      <c r="Y3" s="925"/>
      <c r="Z3" s="774" t="s">
        <v>2040</v>
      </c>
      <c r="AA3" s="771" t="s">
        <v>2041</v>
      </c>
      <c r="AB3" s="774" t="s">
        <v>2042</v>
      </c>
      <c r="AC3" s="774" t="s">
        <v>2043</v>
      </c>
      <c r="AD3" s="774"/>
      <c r="AG3" s="774"/>
      <c r="AH3" s="774"/>
    </row>
    <row r="4" spans="1:34" ht="9" customHeight="1">
      <c r="A4" s="773"/>
      <c r="B4" s="773"/>
      <c r="C4" s="771"/>
      <c r="D4" s="771"/>
      <c r="E4" s="771"/>
      <c r="F4" s="771"/>
      <c r="G4" s="771"/>
      <c r="H4" s="771"/>
      <c r="I4" s="771"/>
      <c r="J4" s="771"/>
      <c r="K4" s="771"/>
      <c r="L4" s="771"/>
      <c r="M4" s="771"/>
      <c r="N4" s="771"/>
      <c r="O4" s="771"/>
      <c r="P4" s="771"/>
      <c r="Q4" s="771"/>
      <c r="R4" s="771"/>
      <c r="S4" s="771"/>
      <c r="T4" s="771"/>
      <c r="U4" s="771"/>
      <c r="V4" s="771"/>
      <c r="W4" s="771"/>
      <c r="X4" s="771"/>
      <c r="Y4" s="925"/>
      <c r="Z4" s="774"/>
      <c r="AA4" s="777"/>
      <c r="AB4" s="774"/>
      <c r="AC4" s="774"/>
      <c r="AD4" s="774"/>
    </row>
    <row r="5" spans="1:34" ht="9" customHeight="1">
      <c r="A5" s="773"/>
      <c r="B5" s="773"/>
      <c r="C5" s="771"/>
      <c r="D5" s="771"/>
      <c r="E5" s="771"/>
      <c r="F5" s="771"/>
      <c r="G5" s="771"/>
      <c r="H5" s="771"/>
      <c r="I5" s="771"/>
      <c r="J5" s="771"/>
      <c r="K5" s="771"/>
      <c r="L5" s="771"/>
      <c r="M5" s="771"/>
      <c r="N5" s="771"/>
      <c r="O5" s="771"/>
      <c r="P5" s="771"/>
      <c r="Q5" s="771"/>
      <c r="R5" s="771"/>
      <c r="S5" s="771"/>
      <c r="T5" s="771"/>
      <c r="U5" s="771"/>
      <c r="V5" s="771"/>
      <c r="W5" s="771"/>
      <c r="X5" s="771"/>
      <c r="Y5" s="925"/>
      <c r="Z5" s="774"/>
      <c r="AA5" s="777"/>
      <c r="AB5" s="774"/>
      <c r="AC5" s="774"/>
      <c r="AD5" s="774"/>
    </row>
    <row r="6" spans="1:34" ht="9" customHeight="1">
      <c r="A6" s="773"/>
      <c r="B6" s="773"/>
      <c r="C6" s="771"/>
      <c r="D6" s="771"/>
      <c r="E6" s="771"/>
      <c r="F6" s="771"/>
      <c r="G6" s="771"/>
      <c r="H6" s="771"/>
      <c r="I6" s="771"/>
      <c r="J6" s="771"/>
      <c r="K6" s="771"/>
      <c r="L6" s="771"/>
      <c r="M6" s="771"/>
      <c r="N6" s="771"/>
      <c r="O6" s="771"/>
      <c r="P6" s="771"/>
      <c r="Q6" s="771"/>
      <c r="R6" s="771"/>
      <c r="S6" s="771"/>
      <c r="T6" s="771"/>
      <c r="U6" s="771"/>
      <c r="V6" s="771"/>
      <c r="W6" s="771"/>
      <c r="X6" s="771"/>
      <c r="Y6" s="925"/>
      <c r="Z6" s="774"/>
      <c r="AA6" s="777"/>
      <c r="AB6" s="774"/>
      <c r="AC6" s="774"/>
      <c r="AD6" s="774"/>
    </row>
    <row r="7" spans="1:34" ht="9" customHeight="1">
      <c r="A7" s="773"/>
      <c r="B7" s="773"/>
      <c r="C7" s="771"/>
      <c r="D7" s="771"/>
      <c r="E7" s="771"/>
      <c r="F7" s="771"/>
      <c r="G7" s="771"/>
      <c r="H7" s="771"/>
      <c r="I7" s="771"/>
      <c r="J7" s="771"/>
      <c r="K7" s="771"/>
      <c r="L7" s="771"/>
      <c r="M7" s="771"/>
      <c r="N7" s="771"/>
      <c r="O7" s="771"/>
      <c r="P7" s="771"/>
      <c r="Q7" s="771"/>
      <c r="R7" s="771"/>
      <c r="S7" s="771"/>
      <c r="T7" s="771"/>
      <c r="U7" s="771"/>
      <c r="V7" s="771"/>
      <c r="W7" s="771"/>
      <c r="X7" s="771"/>
      <c r="Y7" s="925"/>
      <c r="Z7" s="774"/>
      <c r="AA7" s="777"/>
      <c r="AB7" s="774"/>
      <c r="AC7" s="774"/>
      <c r="AD7" s="774"/>
    </row>
    <row r="8" spans="1:34" ht="9" customHeight="1">
      <c r="A8" s="773"/>
      <c r="B8" s="773"/>
      <c r="C8" s="771"/>
      <c r="D8" s="771"/>
      <c r="E8" s="771"/>
      <c r="F8" s="771"/>
      <c r="G8" s="771"/>
      <c r="H8" s="771"/>
      <c r="I8" s="771"/>
      <c r="J8" s="771"/>
      <c r="K8" s="771"/>
      <c r="L8" s="771"/>
      <c r="M8" s="771"/>
      <c r="N8" s="771"/>
      <c r="O8" s="771"/>
      <c r="P8" s="771"/>
      <c r="Q8" s="771"/>
      <c r="R8" s="771"/>
      <c r="S8" s="771"/>
      <c r="T8" s="771"/>
      <c r="U8" s="771"/>
      <c r="V8" s="771"/>
      <c r="W8" s="771"/>
      <c r="X8" s="771"/>
      <c r="Y8" s="925"/>
      <c r="Z8" s="774"/>
      <c r="AA8" s="777"/>
      <c r="AB8" s="774"/>
      <c r="AC8" s="774"/>
      <c r="AD8" s="774"/>
    </row>
    <row r="9" spans="1:34" ht="9" customHeight="1">
      <c r="A9" s="773"/>
      <c r="B9" s="773"/>
      <c r="C9" s="771"/>
      <c r="D9" s="771"/>
      <c r="E9" s="771"/>
      <c r="F9" s="771"/>
      <c r="G9" s="771"/>
      <c r="H9" s="771"/>
      <c r="I9" s="771"/>
      <c r="J9" s="771"/>
      <c r="K9" s="771"/>
      <c r="L9" s="771"/>
      <c r="M9" s="771"/>
      <c r="N9" s="771"/>
      <c r="O9" s="771"/>
      <c r="P9" s="771"/>
      <c r="Q9" s="771"/>
      <c r="R9" s="771"/>
      <c r="S9" s="771"/>
      <c r="T9" s="771"/>
      <c r="U9" s="771"/>
      <c r="V9" s="771"/>
      <c r="W9" s="771"/>
      <c r="X9" s="771"/>
      <c r="Y9" s="925"/>
      <c r="Z9" s="774"/>
      <c r="AA9" s="777"/>
      <c r="AB9" s="774"/>
      <c r="AC9" s="774"/>
      <c r="AD9" s="774"/>
    </row>
    <row r="10" spans="1:34" ht="9" customHeight="1">
      <c r="A10" s="825"/>
      <c r="B10" s="825"/>
      <c r="C10" s="825"/>
      <c r="D10" s="825"/>
      <c r="E10" s="825"/>
      <c r="F10" s="825"/>
      <c r="G10" s="825"/>
      <c r="H10" s="825"/>
      <c r="I10" s="825"/>
      <c r="J10" s="825"/>
      <c r="K10" s="825"/>
      <c r="L10" s="825"/>
      <c r="M10" s="825"/>
      <c r="N10" s="825"/>
      <c r="O10" s="825"/>
      <c r="P10" s="825"/>
      <c r="Q10" s="825"/>
      <c r="R10" s="825"/>
      <c r="S10" s="825"/>
      <c r="T10" s="825"/>
      <c r="U10" s="825"/>
      <c r="V10" s="825"/>
      <c r="W10" s="825"/>
      <c r="X10" s="825"/>
      <c r="Y10" s="825"/>
      <c r="Z10" s="825"/>
      <c r="AA10" s="825"/>
      <c r="AB10" s="825"/>
      <c r="AC10" s="825"/>
      <c r="AD10" s="825"/>
    </row>
    <row r="11" spans="1:34" ht="45" customHeight="1">
      <c r="A11" s="2756" t="s">
        <v>33</v>
      </c>
      <c r="B11" s="825">
        <v>1</v>
      </c>
      <c r="C11" s="2762" t="s">
        <v>1586</v>
      </c>
      <c r="D11" s="2762" t="s">
        <v>1582</v>
      </c>
      <c r="E11" s="2762" t="s">
        <v>1681</v>
      </c>
      <c r="F11" s="2762" t="s">
        <v>2044</v>
      </c>
      <c r="G11" s="2762"/>
      <c r="H11" s="824" t="s">
        <v>2045</v>
      </c>
      <c r="I11" s="824"/>
      <c r="J11" s="824"/>
      <c r="K11" s="824"/>
      <c r="L11" s="824"/>
      <c r="M11" s="772" t="str">
        <f>IF(TEMPLATE_SPHERE="HEAT",T11,U11)</f>
        <v xml:space="preserve">Количество поданных заявлений </v>
      </c>
      <c r="N11" s="772"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71"/>
      <c r="P11" s="771"/>
      <c r="Q11" s="771"/>
      <c r="R11" s="771"/>
      <c r="S11" s="771"/>
      <c r="T11" s="771" t="s">
        <v>2046</v>
      </c>
      <c r="U11" s="771" t="s">
        <v>2047</v>
      </c>
      <c r="V11" s="771"/>
      <c r="W11" s="771"/>
      <c r="X11" s="771"/>
      <c r="Y11" s="925"/>
      <c r="Z11" s="774" t="s">
        <v>2048</v>
      </c>
      <c r="AA11" s="777"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74"/>
      <c r="AC11" s="774"/>
      <c r="AD11" s="774"/>
    </row>
    <row r="12" spans="1:34" ht="45" customHeight="1">
      <c r="A12" s="2756"/>
      <c r="B12" s="825">
        <v>2</v>
      </c>
      <c r="C12" s="2763"/>
      <c r="D12" s="2763"/>
      <c r="E12" s="2763"/>
      <c r="F12" s="2763"/>
      <c r="G12" s="2763"/>
      <c r="H12" s="824" t="s">
        <v>2049</v>
      </c>
      <c r="I12" s="824"/>
      <c r="J12" s="824"/>
      <c r="K12" s="824"/>
      <c r="L12" s="824"/>
      <c r="M12" s="772" t="str">
        <f>IF(TEMPLATE_SPHERE="HEAT",T12,U12)</f>
        <v xml:space="preserve">Количество исполненных заявлений </v>
      </c>
      <c r="N12" s="772"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71"/>
      <c r="P12" s="771"/>
      <c r="Q12" s="771"/>
      <c r="R12" s="771"/>
      <c r="S12" s="771"/>
      <c r="T12" s="771" t="s">
        <v>2050</v>
      </c>
      <c r="U12" s="771" t="s">
        <v>2051</v>
      </c>
      <c r="V12" s="771"/>
      <c r="W12" s="771"/>
      <c r="X12" s="771"/>
      <c r="Y12" s="925"/>
      <c r="Z12" s="774" t="s">
        <v>2052</v>
      </c>
      <c r="AA12" s="777"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74"/>
      <c r="AC12" s="774"/>
      <c r="AD12" s="774"/>
    </row>
    <row r="13" spans="1:34" ht="72" customHeight="1">
      <c r="A13" s="2756"/>
      <c r="B13" s="825">
        <v>3</v>
      </c>
      <c r="C13" s="2763"/>
      <c r="D13" s="2763"/>
      <c r="E13" s="2763"/>
      <c r="F13" s="2763"/>
      <c r="G13" s="2763"/>
      <c r="H13" s="2755" t="s">
        <v>2053</v>
      </c>
      <c r="I13" s="824"/>
      <c r="J13" s="824"/>
      <c r="K13" s="824"/>
      <c r="L13" s="824"/>
      <c r="M13" s="772"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2"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71"/>
      <c r="P13" s="772"/>
      <c r="Q13" s="772"/>
      <c r="R13" s="772"/>
      <c r="S13" s="771"/>
      <c r="T13" s="771" t="s">
        <v>2054</v>
      </c>
      <c r="U13" s="772" t="s">
        <v>2055</v>
      </c>
      <c r="V13" s="772"/>
      <c r="W13" s="772"/>
      <c r="X13" s="771"/>
      <c r="Y13" s="925"/>
      <c r="Z13" s="774" t="s">
        <v>2056</v>
      </c>
      <c r="AA13" s="777"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74"/>
      <c r="AC13" s="774"/>
      <c r="AD13" s="774"/>
    </row>
    <row r="14" spans="1:34" ht="45" customHeight="1">
      <c r="A14" s="2756"/>
      <c r="B14" s="825">
        <v>4</v>
      </c>
      <c r="C14" s="2763"/>
      <c r="D14" s="2763"/>
      <c r="E14" s="2763"/>
      <c r="F14" s="2763"/>
      <c r="G14" s="2763"/>
      <c r="H14" s="2755"/>
      <c r="I14" s="827"/>
      <c r="J14" s="827"/>
      <c r="K14" s="827"/>
      <c r="L14" s="827"/>
      <c r="M14" s="775"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72"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1"/>
      <c r="P14" s="772"/>
      <c r="Q14" s="772"/>
      <c r="R14" s="772"/>
      <c r="S14" s="771"/>
      <c r="T14" s="771" t="s">
        <v>2057</v>
      </c>
      <c r="U14" s="772"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72"/>
      <c r="W14" s="772"/>
      <c r="X14" s="771"/>
      <c r="Y14" s="925"/>
      <c r="Z14" s="774" t="s">
        <v>2058</v>
      </c>
      <c r="AA14" s="777" t="s">
        <v>2058</v>
      </c>
      <c r="AB14" s="774"/>
      <c r="AC14" s="774"/>
      <c r="AD14" s="774"/>
    </row>
    <row r="15" spans="1:34" ht="108" customHeight="1">
      <c r="A15" s="2756"/>
      <c r="B15" s="825">
        <v>5</v>
      </c>
      <c r="C15" s="2763"/>
      <c r="D15" s="2763"/>
      <c r="E15" s="2763"/>
      <c r="F15" s="2763"/>
      <c r="G15" s="2763"/>
      <c r="H15" s="2757" t="s">
        <v>2059</v>
      </c>
      <c r="I15" s="826"/>
      <c r="J15" s="826"/>
      <c r="K15" s="826"/>
      <c r="L15" s="826"/>
      <c r="M15" s="777"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76"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71"/>
      <c r="P15" s="772"/>
      <c r="Q15" s="772"/>
      <c r="R15" s="772"/>
      <c r="S15" s="771"/>
      <c r="T15" s="771" t="s">
        <v>2060</v>
      </c>
      <c r="U15" s="772"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72"/>
      <c r="W15" s="772"/>
      <c r="X15" s="771"/>
      <c r="Y15" s="925"/>
      <c r="Z15" s="774" t="s">
        <v>2061</v>
      </c>
      <c r="AA15" s="777"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74"/>
      <c r="AC15" s="774"/>
      <c r="AD15" s="774"/>
    </row>
    <row r="16" spans="1:34" ht="108" customHeight="1">
      <c r="A16" s="825"/>
      <c r="B16" s="825">
        <v>6</v>
      </c>
      <c r="C16" s="2764"/>
      <c r="D16" s="2764"/>
      <c r="E16" s="2764"/>
      <c r="F16" s="2764"/>
      <c r="G16" s="2764"/>
      <c r="H16" s="2758"/>
      <c r="I16" s="888"/>
      <c r="J16" s="888"/>
      <c r="K16" s="888"/>
      <c r="L16" s="888"/>
      <c r="M16" s="818"/>
      <c r="N16" s="776"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71"/>
      <c r="P16" s="772"/>
      <c r="Q16" s="772"/>
      <c r="R16" s="772"/>
      <c r="S16" s="771"/>
      <c r="T16" s="771"/>
      <c r="U16" s="772"/>
      <c r="V16" s="772"/>
      <c r="W16" s="772"/>
      <c r="X16" s="771"/>
      <c r="Y16" s="925"/>
      <c r="Z16" s="774" t="s">
        <v>2061</v>
      </c>
      <c r="AA16" s="777"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74"/>
      <c r="AC16" s="774"/>
      <c r="AD16" s="774"/>
    </row>
    <row r="17" spans="1:30" ht="9" customHeight="1">
      <c r="A17" s="825"/>
      <c r="B17" s="825"/>
      <c r="C17" s="825">
        <v>22</v>
      </c>
      <c r="D17" s="825">
        <v>21</v>
      </c>
      <c r="E17" s="825">
        <v>42</v>
      </c>
      <c r="F17" s="825">
        <v>63</v>
      </c>
      <c r="G17" s="825"/>
      <c r="H17" s="825"/>
      <c r="I17" s="825"/>
      <c r="J17" s="825"/>
      <c r="K17" s="825"/>
      <c r="L17" s="825"/>
      <c r="M17" s="825"/>
      <c r="N17" s="825"/>
      <c r="O17" s="825"/>
      <c r="P17" s="825"/>
      <c r="Q17" s="825"/>
      <c r="R17" s="825"/>
      <c r="S17" s="825"/>
      <c r="T17" s="825"/>
      <c r="U17" s="825"/>
      <c r="V17" s="825"/>
      <c r="W17" s="825"/>
      <c r="X17" s="825"/>
      <c r="Y17" s="825"/>
      <c r="Z17" s="825"/>
      <c r="AA17" s="825"/>
      <c r="AB17" s="825"/>
      <c r="AC17" s="825"/>
      <c r="AD17" s="825"/>
    </row>
    <row r="18" spans="1:30" ht="27" customHeight="1">
      <c r="A18" s="773" t="s">
        <v>1684</v>
      </c>
      <c r="B18" s="825">
        <v>1</v>
      </c>
      <c r="C18" s="771" t="s">
        <v>2045</v>
      </c>
      <c r="D18" s="893" t="s">
        <v>2045</v>
      </c>
      <c r="E18" s="771" t="s">
        <v>2045</v>
      </c>
      <c r="F18" s="771" t="s">
        <v>2045</v>
      </c>
      <c r="G18" s="771"/>
      <c r="H18" s="926"/>
      <c r="I18" s="929">
        <f t="shared" ref="I18:I49" si="1">INDEX(TEMPLATE_NUMBER_POINT_FHD,B18,MATCH(TEMPLATE_SPHERE,TEMPLATE_SPHERE_LIST_FOR_NOTE,0))</f>
        <v>1</v>
      </c>
      <c r="J18" s="929" t="str">
        <f t="shared" ref="J18:J49" si="2">INDEX(TEMPLATE_DATA_POINT_FHD,B18,MATCH(TEMPLATE_SPHERE,TEMPLATE_SPHERE_LIST_FOR_NOTE,0))</f>
        <v>Выручка от регулируемых видов деятельности в сфере водоотведения</v>
      </c>
      <c r="K18" s="929" t="str">
        <f t="shared" ref="K18:K49" si="3">INDEX(TEMPLATE_NOTE_POINT_FHD,B18,MATCH(TEMPLATE_SPHERE,TEMPLATE_SPHERE_LIST_FOR_NOTE,0))</f>
        <v>Указывается выручка с распределением по видам деятельности.</v>
      </c>
      <c r="L18" s="772">
        <f t="shared" ref="L18:L49" si="4">IF(I18=0,"",I18)</f>
        <v>1</v>
      </c>
      <c r="M18" s="772" t="str">
        <f t="shared" ref="M18:M49" si="5">IF(J18=0,"",J18)</f>
        <v>Выручка от регулируемых видов деятельности в сфере водоотведения</v>
      </c>
      <c r="N18" s="772" t="str">
        <f t="shared" ref="N18:N49" si="6">IF(K18=0,"",K18)</f>
        <v>Указывается выручка с распределением по видам деятельности.</v>
      </c>
      <c r="O18" s="883">
        <v>1</v>
      </c>
      <c r="P18" s="883">
        <v>1</v>
      </c>
      <c r="Q18" s="883">
        <v>1</v>
      </c>
      <c r="R18" s="883">
        <v>1</v>
      </c>
      <c r="S18" s="883"/>
      <c r="T18" s="890" t="s">
        <v>2062</v>
      </c>
      <c r="U18" s="774" t="s">
        <v>2063</v>
      </c>
      <c r="V18" s="774" t="s">
        <v>2064</v>
      </c>
      <c r="W18" s="774" t="s">
        <v>2065</v>
      </c>
      <c r="X18" s="771"/>
      <c r="Y18" s="925"/>
      <c r="Z18" s="774" t="s">
        <v>2066</v>
      </c>
      <c r="AA18" s="777" t="s">
        <v>2067</v>
      </c>
      <c r="AB18" s="777" t="s">
        <v>2067</v>
      </c>
      <c r="AC18" s="777" t="s">
        <v>2067</v>
      </c>
      <c r="AD18" s="774"/>
    </row>
    <row r="19" spans="1:30" ht="36" customHeight="1">
      <c r="A19" s="773"/>
      <c r="B19" s="825">
        <v>2</v>
      </c>
      <c r="C19" s="771" t="s">
        <v>2049</v>
      </c>
      <c r="D19" s="893" t="s">
        <v>2049</v>
      </c>
      <c r="E19" s="771" t="s">
        <v>2049</v>
      </c>
      <c r="F19" s="771" t="s">
        <v>2049</v>
      </c>
      <c r="G19" s="771"/>
      <c r="H19" s="926"/>
      <c r="I19" s="929">
        <f t="shared" si="1"/>
        <v>2</v>
      </c>
      <c r="J19" s="929" t="str">
        <f t="shared" si="2"/>
        <v>Себестоимость производимых товаров (оказываемых услуг) по регулируемым видам деятельности в сфере водоотведения, включая:</v>
      </c>
      <c r="K19" s="929" t="str">
        <f t="shared" si="3"/>
        <v>Указывается суммарная себестоимость производимых товаров.</v>
      </c>
      <c r="L19" s="772">
        <f t="shared" si="4"/>
        <v>2</v>
      </c>
      <c r="M19" s="772" t="str">
        <f t="shared" si="5"/>
        <v>Себестоимость производимых товаров (оказываемых услуг) по регулируемым видам деятельности в сфере водоотведения, включая:</v>
      </c>
      <c r="N19" s="772" t="str">
        <f t="shared" si="6"/>
        <v>Указывается суммарная себестоимость производимых товаров.</v>
      </c>
      <c r="O19" s="883">
        <v>2</v>
      </c>
      <c r="P19" s="883">
        <v>2</v>
      </c>
      <c r="Q19" s="883">
        <v>2</v>
      </c>
      <c r="R19" s="883">
        <v>2</v>
      </c>
      <c r="S19" s="883"/>
      <c r="T19" s="890" t="s">
        <v>2068</v>
      </c>
      <c r="U19" s="774" t="s">
        <v>2069</v>
      </c>
      <c r="V19" s="774" t="s">
        <v>2070</v>
      </c>
      <c r="W19" s="774" t="s">
        <v>2071</v>
      </c>
      <c r="X19" s="771"/>
      <c r="Y19" s="925"/>
      <c r="Z19" s="774" t="s">
        <v>2072</v>
      </c>
      <c r="AA19" s="777" t="s">
        <v>2072</v>
      </c>
      <c r="AB19" s="777" t="s">
        <v>2072</v>
      </c>
      <c r="AC19" s="777" t="s">
        <v>2072</v>
      </c>
      <c r="AD19" s="774"/>
    </row>
    <row r="20" spans="1:30" ht="27" customHeight="1">
      <c r="A20" s="773"/>
      <c r="B20" s="825">
        <v>3</v>
      </c>
      <c r="C20" s="771">
        <v>1</v>
      </c>
      <c r="D20" s="893"/>
      <c r="E20" s="771"/>
      <c r="F20" s="771"/>
      <c r="G20" s="771"/>
      <c r="H20" s="926"/>
      <c r="I20" s="929" t="str">
        <f t="shared" si="1"/>
        <v>2.1</v>
      </c>
      <c r="J20" s="929" t="str">
        <f t="shared" si="2"/>
        <v>Расходы на оплату услуг по приему, транспортировке и очистке сточных вод другими организациями</v>
      </c>
      <c r="K20" s="929">
        <f t="shared" si="3"/>
        <v>0</v>
      </c>
      <c r="L20" s="772" t="str">
        <f t="shared" si="4"/>
        <v>2.1</v>
      </c>
      <c r="M20" s="772" t="str">
        <f t="shared" si="5"/>
        <v>Расходы на оплату услуг по приему, транспортировке и очистке сточных вод другими организациями</v>
      </c>
      <c r="N20" s="772" t="str">
        <f t="shared" si="6"/>
        <v/>
      </c>
      <c r="O20" s="883" t="s">
        <v>709</v>
      </c>
      <c r="P20" s="883" t="s">
        <v>709</v>
      </c>
      <c r="Q20" s="883" t="s">
        <v>709</v>
      </c>
      <c r="R20" s="883" t="s">
        <v>709</v>
      </c>
      <c r="S20" s="883"/>
      <c r="T20" s="890" t="s">
        <v>2073</v>
      </c>
      <c r="U20" s="774" t="s">
        <v>2074</v>
      </c>
      <c r="V20" s="774" t="s">
        <v>2075</v>
      </c>
      <c r="W20" s="774" t="s">
        <v>2076</v>
      </c>
      <c r="X20" s="771"/>
      <c r="Y20" s="925"/>
      <c r="Z20" s="774"/>
      <c r="AA20" s="777"/>
      <c r="AB20" s="774"/>
      <c r="AC20" s="774"/>
      <c r="AD20" s="774"/>
    </row>
    <row r="21" spans="1:30" ht="36" customHeight="1">
      <c r="A21" s="773"/>
      <c r="B21" s="825">
        <v>4</v>
      </c>
      <c r="C21" s="771">
        <v>2</v>
      </c>
      <c r="D21" s="893"/>
      <c r="E21" s="771"/>
      <c r="F21" s="771"/>
      <c r="G21" s="771"/>
      <c r="H21" s="926"/>
      <c r="I21" s="929">
        <f t="shared" si="1"/>
        <v>0</v>
      </c>
      <c r="J21" s="929">
        <f t="shared" si="2"/>
        <v>0</v>
      </c>
      <c r="K21" s="929">
        <f t="shared" si="3"/>
        <v>0</v>
      </c>
      <c r="L21" s="772" t="str">
        <f t="shared" si="4"/>
        <v/>
      </c>
      <c r="M21" s="772" t="str">
        <f t="shared" si="5"/>
        <v/>
      </c>
      <c r="N21" s="772" t="str">
        <f t="shared" si="6"/>
        <v/>
      </c>
      <c r="O21" s="883" t="s">
        <v>305</v>
      </c>
      <c r="P21" s="883"/>
      <c r="Q21" s="883"/>
      <c r="R21" s="883"/>
      <c r="S21" s="883"/>
      <c r="T21" s="890" t="s">
        <v>2077</v>
      </c>
      <c r="U21" s="774"/>
      <c r="V21" s="774"/>
      <c r="W21" s="774"/>
      <c r="X21" s="771"/>
      <c r="Y21" s="925"/>
      <c r="Z21" s="774" t="s">
        <v>2078</v>
      </c>
      <c r="AA21" s="777"/>
      <c r="AB21" s="774"/>
      <c r="AC21" s="774"/>
      <c r="AD21" s="774"/>
    </row>
    <row r="22" spans="1:30" ht="36" customHeight="1">
      <c r="A22" s="773"/>
      <c r="B22" s="825">
        <v>5</v>
      </c>
      <c r="C22" s="771">
        <v>3</v>
      </c>
      <c r="D22" s="893"/>
      <c r="E22" s="771"/>
      <c r="F22" s="771"/>
      <c r="G22" s="817"/>
      <c r="H22" s="884"/>
      <c r="I22" s="929">
        <f t="shared" si="1"/>
        <v>0</v>
      </c>
      <c r="J22" s="929">
        <f t="shared" si="2"/>
        <v>0</v>
      </c>
      <c r="K22" s="929">
        <f t="shared" si="3"/>
        <v>0</v>
      </c>
      <c r="L22" s="772" t="str">
        <f t="shared" si="4"/>
        <v/>
      </c>
      <c r="M22" s="772" t="str">
        <f t="shared" si="5"/>
        <v/>
      </c>
      <c r="N22" s="772" t="str">
        <f t="shared" si="6"/>
        <v/>
      </c>
      <c r="O22" s="883"/>
      <c r="P22" s="883"/>
      <c r="Q22" s="883" t="s">
        <v>305</v>
      </c>
      <c r="R22" s="883"/>
      <c r="S22" s="883"/>
      <c r="T22" s="890"/>
      <c r="U22" s="774"/>
      <c r="V22" s="774" t="s">
        <v>2079</v>
      </c>
      <c r="W22" s="774"/>
      <c r="X22" s="771"/>
      <c r="Y22" s="925"/>
      <c r="Z22" s="774"/>
      <c r="AA22" s="777"/>
      <c r="AB22" s="774"/>
      <c r="AC22" s="774"/>
      <c r="AD22" s="774"/>
    </row>
    <row r="23" spans="1:30" ht="27" customHeight="1">
      <c r="A23" s="773"/>
      <c r="B23" s="825">
        <v>6</v>
      </c>
      <c r="C23" s="771">
        <v>4</v>
      </c>
      <c r="D23" s="893"/>
      <c r="E23" s="771"/>
      <c r="F23" s="771"/>
      <c r="G23" s="817"/>
      <c r="H23" s="884"/>
      <c r="I23" s="929">
        <f t="shared" si="1"/>
        <v>0</v>
      </c>
      <c r="J23" s="929">
        <f t="shared" si="2"/>
        <v>0</v>
      </c>
      <c r="K23" s="929">
        <f t="shared" si="3"/>
        <v>0</v>
      </c>
      <c r="L23" s="772" t="str">
        <f t="shared" si="4"/>
        <v/>
      </c>
      <c r="M23" s="772" t="str">
        <f t="shared" si="5"/>
        <v/>
      </c>
      <c r="N23" s="772" t="str">
        <f t="shared" si="6"/>
        <v/>
      </c>
      <c r="O23" s="883"/>
      <c r="P23" s="883"/>
      <c r="Q23" s="883" t="s">
        <v>308</v>
      </c>
      <c r="R23" s="883"/>
      <c r="S23" s="883"/>
      <c r="T23" s="890"/>
      <c r="U23" s="774"/>
      <c r="V23" s="774" t="s">
        <v>2080</v>
      </c>
      <c r="W23" s="774"/>
      <c r="X23" s="771"/>
      <c r="Y23" s="925"/>
      <c r="Z23" s="774"/>
      <c r="AA23" s="777"/>
      <c r="AB23" s="774"/>
      <c r="AC23" s="774"/>
      <c r="AD23" s="774"/>
    </row>
    <row r="24" spans="1:30" ht="36" customHeight="1">
      <c r="A24" s="773"/>
      <c r="B24" s="825">
        <v>7</v>
      </c>
      <c r="C24" s="771">
        <v>5</v>
      </c>
      <c r="D24" s="893"/>
      <c r="E24" s="771"/>
      <c r="F24" s="771"/>
      <c r="G24" s="817"/>
      <c r="H24" s="884"/>
      <c r="I24" s="929">
        <f t="shared" si="1"/>
        <v>0</v>
      </c>
      <c r="J24" s="929">
        <f t="shared" si="2"/>
        <v>0</v>
      </c>
      <c r="K24" s="929">
        <f t="shared" si="3"/>
        <v>0</v>
      </c>
      <c r="L24" s="772" t="str">
        <f t="shared" si="4"/>
        <v/>
      </c>
      <c r="M24" s="772" t="str">
        <f t="shared" si="5"/>
        <v/>
      </c>
      <c r="N24" s="772" t="str">
        <f t="shared" si="6"/>
        <v/>
      </c>
      <c r="O24" s="883"/>
      <c r="P24" s="883"/>
      <c r="Q24" s="883" t="s">
        <v>729</v>
      </c>
      <c r="R24" s="883"/>
      <c r="S24" s="883"/>
      <c r="T24" s="890"/>
      <c r="U24" s="774"/>
      <c r="V24" s="774" t="s">
        <v>2081</v>
      </c>
      <c r="W24" s="774"/>
      <c r="X24" s="771"/>
      <c r="Y24" s="925"/>
      <c r="Z24" s="774"/>
      <c r="AA24" s="777"/>
      <c r="AB24" s="774"/>
      <c r="AC24" s="774"/>
      <c r="AD24" s="774"/>
    </row>
    <row r="25" spans="1:30" ht="36" customHeight="1">
      <c r="A25" s="773"/>
      <c r="B25" s="825">
        <v>8</v>
      </c>
      <c r="C25" s="771">
        <v>6</v>
      </c>
      <c r="D25" s="893"/>
      <c r="E25" s="771"/>
      <c r="F25" s="771"/>
      <c r="G25" s="817"/>
      <c r="H25" s="884"/>
      <c r="I25" s="929" t="str">
        <f t="shared" si="1"/>
        <v>2.2</v>
      </c>
      <c r="J25" s="929" t="str">
        <f t="shared" si="2"/>
        <v>Расходы на приобретаемую электрическую энергию (мощность), используемую в технологическом процессе</v>
      </c>
      <c r="K25" s="929">
        <f t="shared" si="3"/>
        <v>0</v>
      </c>
      <c r="L25" s="772" t="str">
        <f t="shared" si="4"/>
        <v>2.2</v>
      </c>
      <c r="M25" s="772" t="str">
        <f t="shared" si="5"/>
        <v>Расходы на приобретаемую электрическую энергию (мощность), используемую в технологическом процессе</v>
      </c>
      <c r="N25" s="772" t="str">
        <f t="shared" si="6"/>
        <v/>
      </c>
      <c r="O25" s="883" t="s">
        <v>308</v>
      </c>
      <c r="P25" s="883" t="s">
        <v>305</v>
      </c>
      <c r="Q25" s="883" t="s">
        <v>736</v>
      </c>
      <c r="R25" s="883" t="s">
        <v>305</v>
      </c>
      <c r="S25" s="883"/>
      <c r="T25" s="890" t="s">
        <v>2082</v>
      </c>
      <c r="U25" s="774" t="s">
        <v>2082</v>
      </c>
      <c r="V25" s="774" t="s">
        <v>2082</v>
      </c>
      <c r="W25" s="774" t="s">
        <v>2082</v>
      </c>
      <c r="X25" s="771"/>
      <c r="Y25" s="925"/>
      <c r="Z25" s="774"/>
      <c r="AA25" s="777"/>
      <c r="AB25" s="774"/>
      <c r="AC25" s="774"/>
      <c r="AD25" s="774"/>
    </row>
    <row r="26" spans="1:30" ht="18" customHeight="1">
      <c r="A26" s="773"/>
      <c r="B26" s="825">
        <v>9</v>
      </c>
      <c r="C26" s="771" t="s">
        <v>653</v>
      </c>
      <c r="D26" s="893"/>
      <c r="E26" s="771"/>
      <c r="F26" s="771"/>
      <c r="G26" s="817"/>
      <c r="H26" s="884"/>
      <c r="I26" s="929" t="str">
        <f t="shared" si="1"/>
        <v>2.2.1</v>
      </c>
      <c r="J26" s="929" t="str">
        <f t="shared" si="2"/>
        <v>Средневзвешенная стоимость 1 кВт.ч (с учетом мощности)</v>
      </c>
      <c r="K26" s="929">
        <f t="shared" si="3"/>
        <v>0</v>
      </c>
      <c r="L26" s="772" t="str">
        <f t="shared" si="4"/>
        <v>2.2.1</v>
      </c>
      <c r="M26" s="772" t="str">
        <f t="shared" si="5"/>
        <v>Средневзвешенная стоимость 1 кВт.ч (с учетом мощности)</v>
      </c>
      <c r="N26" s="772" t="str">
        <f t="shared" si="6"/>
        <v/>
      </c>
      <c r="O26" s="883" t="s">
        <v>725</v>
      </c>
      <c r="P26" s="883" t="s">
        <v>719</v>
      </c>
      <c r="Q26" s="883" t="s">
        <v>2083</v>
      </c>
      <c r="R26" s="883" t="s">
        <v>719</v>
      </c>
      <c r="S26" s="883"/>
      <c r="T26" s="890" t="str">
        <f>"Средневзвешенная стоимость 1 кВт.ч"&amp;IF(TITLE_TYPE_ORG="Регулируемая организация"," (с учетом мощности)","")</f>
        <v>Средневзвешенная стоимость 1 кВт.ч</v>
      </c>
      <c r="U26" s="890" t="s">
        <v>2084</v>
      </c>
      <c r="V26" s="890" t="s">
        <v>2084</v>
      </c>
      <c r="W26" s="890" t="s">
        <v>2084</v>
      </c>
      <c r="X26" s="771"/>
      <c r="Y26" s="925"/>
      <c r="Z26" s="774"/>
      <c r="AA26" s="777"/>
      <c r="AB26" s="774"/>
      <c r="AC26" s="774"/>
      <c r="AD26" s="774"/>
    </row>
    <row r="27" spans="1:30" ht="18" customHeight="1">
      <c r="A27" s="773"/>
      <c r="B27" s="825">
        <v>10</v>
      </c>
      <c r="C27" s="771" t="s">
        <v>657</v>
      </c>
      <c r="D27" s="893"/>
      <c r="E27" s="771"/>
      <c r="F27" s="771"/>
      <c r="G27" s="817"/>
      <c r="H27" s="884"/>
      <c r="I27" s="929" t="str">
        <f t="shared" si="1"/>
        <v>2.2.2</v>
      </c>
      <c r="J27" s="929" t="str">
        <f t="shared" si="2"/>
        <v>Объём приобретения электрической энергии</v>
      </c>
      <c r="K27" s="929">
        <f t="shared" si="3"/>
        <v>0</v>
      </c>
      <c r="L27" s="772" t="str">
        <f t="shared" si="4"/>
        <v>2.2.2</v>
      </c>
      <c r="M27" s="772" t="str">
        <f t="shared" si="5"/>
        <v>Объём приобретения электрической энергии</v>
      </c>
      <c r="N27" s="772" t="str">
        <f t="shared" si="6"/>
        <v/>
      </c>
      <c r="O27" s="883" t="s">
        <v>727</v>
      </c>
      <c r="P27" s="883" t="s">
        <v>721</v>
      </c>
      <c r="Q27" s="883" t="s">
        <v>2085</v>
      </c>
      <c r="R27" s="883" t="s">
        <v>721</v>
      </c>
      <c r="S27" s="883"/>
      <c r="T27" s="890" t="s">
        <v>2086</v>
      </c>
      <c r="U27" s="890" t="s">
        <v>2086</v>
      </c>
      <c r="V27" s="890" t="s">
        <v>2086</v>
      </c>
      <c r="W27" s="890" t="s">
        <v>2086</v>
      </c>
      <c r="X27" s="771"/>
      <c r="Y27" s="925"/>
      <c r="Z27" s="774"/>
      <c r="AA27" s="777"/>
      <c r="AB27" s="774"/>
      <c r="AC27" s="774"/>
      <c r="AD27" s="774"/>
    </row>
    <row r="28" spans="1:30" ht="27" customHeight="1">
      <c r="A28" s="773"/>
      <c r="B28" s="825">
        <v>11</v>
      </c>
      <c r="C28" s="771">
        <v>7</v>
      </c>
      <c r="D28" s="893"/>
      <c r="E28" s="771"/>
      <c r="F28" s="771"/>
      <c r="G28" s="817"/>
      <c r="H28" s="884"/>
      <c r="I28" s="929">
        <f t="shared" si="1"/>
        <v>0</v>
      </c>
      <c r="J28" s="929">
        <f t="shared" si="2"/>
        <v>0</v>
      </c>
      <c r="K28" s="929">
        <f t="shared" si="3"/>
        <v>0</v>
      </c>
      <c r="L28" s="772" t="str">
        <f t="shared" si="4"/>
        <v/>
      </c>
      <c r="M28" s="772" t="str">
        <f t="shared" si="5"/>
        <v/>
      </c>
      <c r="N28" s="772" t="str">
        <f t="shared" si="6"/>
        <v/>
      </c>
      <c r="O28" s="883" t="s">
        <v>729</v>
      </c>
      <c r="P28" s="883"/>
      <c r="Q28" s="883"/>
      <c r="R28" s="883"/>
      <c r="S28" s="883"/>
      <c r="T28" s="890" t="s">
        <v>2087</v>
      </c>
      <c r="U28" s="774"/>
      <c r="V28" s="774"/>
      <c r="W28" s="774"/>
      <c r="X28" s="771"/>
      <c r="Y28" s="925"/>
      <c r="Z28" s="774"/>
      <c r="AA28" s="777"/>
      <c r="AB28" s="774"/>
      <c r="AC28" s="774"/>
      <c r="AD28" s="774"/>
    </row>
    <row r="29" spans="1:30" ht="27" customHeight="1">
      <c r="A29" s="773"/>
      <c r="B29" s="825">
        <v>12</v>
      </c>
      <c r="C29" s="771">
        <v>8</v>
      </c>
      <c r="D29" s="893"/>
      <c r="E29" s="771"/>
      <c r="F29" s="771"/>
      <c r="G29" s="817"/>
      <c r="H29" s="884"/>
      <c r="I29" s="929" t="str">
        <f t="shared" si="1"/>
        <v>2.3</v>
      </c>
      <c r="J29" s="929" t="str">
        <f t="shared" si="2"/>
        <v>Расходы на химические реагенты, используемые в технологическом процессе</v>
      </c>
      <c r="K29" s="929">
        <f t="shared" si="3"/>
        <v>0</v>
      </c>
      <c r="L29" s="772" t="str">
        <f t="shared" si="4"/>
        <v>2.3</v>
      </c>
      <c r="M29" s="772" t="str">
        <f t="shared" si="5"/>
        <v>Расходы на химические реагенты, используемые в технологическом процессе</v>
      </c>
      <c r="N29" s="772" t="str">
        <f t="shared" si="6"/>
        <v/>
      </c>
      <c r="O29" s="883" t="s">
        <v>736</v>
      </c>
      <c r="P29" s="883" t="s">
        <v>308</v>
      </c>
      <c r="Q29" s="883"/>
      <c r="R29" s="883" t="s">
        <v>308</v>
      </c>
      <c r="S29" s="883"/>
      <c r="T29" s="890"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4" t="s">
        <v>2088</v>
      </c>
      <c r="V29" s="774"/>
      <c r="W29" s="774" t="s">
        <v>2088</v>
      </c>
      <c r="X29" s="771"/>
      <c r="Y29" s="925"/>
      <c r="Z29" s="774"/>
      <c r="AA29" s="777"/>
      <c r="AB29" s="774"/>
      <c r="AC29" s="774"/>
      <c r="AD29" s="774"/>
    </row>
    <row r="30" spans="1:30" ht="54" customHeight="1">
      <c r="A30" s="773"/>
      <c r="B30" s="825">
        <v>13</v>
      </c>
      <c r="C30" s="771">
        <v>9</v>
      </c>
      <c r="D30" s="893"/>
      <c r="E30" s="771"/>
      <c r="F30" s="771"/>
      <c r="G30" s="817"/>
      <c r="H30" s="884"/>
      <c r="I30" s="929" t="str">
        <f t="shared" si="1"/>
        <v>2.4</v>
      </c>
      <c r="J30" s="929"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9" t="str">
        <f t="shared" si="3"/>
        <v>Указывается общая сумма расходов на оплату труда и отчислений на социальные нужды основного производственного персонала.</v>
      </c>
      <c r="L30" s="772" t="str">
        <f t="shared" si="4"/>
        <v>2.4</v>
      </c>
      <c r="M30" s="772"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2" t="str">
        <f t="shared" si="6"/>
        <v>Указывается общая сумма расходов на оплату труда и отчислений на социальные нужды основного производственного персонала.</v>
      </c>
      <c r="O30" s="883" t="s">
        <v>738</v>
      </c>
      <c r="P30" s="883" t="s">
        <v>729</v>
      </c>
      <c r="Q30" s="883" t="s">
        <v>738</v>
      </c>
      <c r="R30" s="883" t="s">
        <v>729</v>
      </c>
      <c r="S30" s="883"/>
      <c r="T30" s="890" t="s">
        <v>2089</v>
      </c>
      <c r="U30" s="774" t="s">
        <v>2089</v>
      </c>
      <c r="V30" s="774" t="s">
        <v>2089</v>
      </c>
      <c r="W30" s="774" t="s">
        <v>2089</v>
      </c>
      <c r="X30" s="771"/>
      <c r="Y30" s="925"/>
      <c r="Z30" s="774"/>
      <c r="AA30" s="777" t="s">
        <v>2090</v>
      </c>
      <c r="AB30" s="777" t="s">
        <v>2090</v>
      </c>
      <c r="AC30" s="777" t="s">
        <v>2090</v>
      </c>
      <c r="AD30" s="774"/>
    </row>
    <row r="31" spans="1:30" ht="18" customHeight="1">
      <c r="A31" s="773"/>
      <c r="B31" s="825">
        <v>14</v>
      </c>
      <c r="C31" s="771" t="s">
        <v>2091</v>
      </c>
      <c r="D31" s="893"/>
      <c r="E31" s="771"/>
      <c r="F31" s="771"/>
      <c r="G31" s="817"/>
      <c r="H31" s="884"/>
      <c r="I31" s="929" t="str">
        <f t="shared" si="1"/>
        <v>2.4.1</v>
      </c>
      <c r="J31" s="929" t="str">
        <f t="shared" si="2"/>
        <v>Расходы на оплату труда основного производственного персонала</v>
      </c>
      <c r="K31" s="929">
        <f t="shared" si="3"/>
        <v>0</v>
      </c>
      <c r="L31" s="772" t="str">
        <f t="shared" si="4"/>
        <v>2.4.1</v>
      </c>
      <c r="M31" s="772" t="str">
        <f t="shared" si="5"/>
        <v>Расходы на оплату труда основного производственного персонала</v>
      </c>
      <c r="N31" s="772" t="str">
        <f t="shared" si="6"/>
        <v/>
      </c>
      <c r="O31" s="883" t="s">
        <v>2092</v>
      </c>
      <c r="P31" s="883" t="s">
        <v>732</v>
      </c>
      <c r="Q31" s="883" t="s">
        <v>2092</v>
      </c>
      <c r="R31" s="883" t="s">
        <v>732</v>
      </c>
      <c r="S31" s="883"/>
      <c r="T31" s="891" t="s">
        <v>2093</v>
      </c>
      <c r="U31" s="774" t="s">
        <v>2093</v>
      </c>
      <c r="V31" s="774" t="s">
        <v>2093</v>
      </c>
      <c r="W31" s="774" t="s">
        <v>2093</v>
      </c>
      <c r="X31" s="771"/>
      <c r="Y31" s="925"/>
      <c r="Z31" s="774"/>
      <c r="AA31" s="777"/>
      <c r="AB31" s="777"/>
      <c r="AC31" s="777"/>
      <c r="AD31" s="774"/>
    </row>
    <row r="32" spans="1:30" ht="36" customHeight="1">
      <c r="A32" s="773"/>
      <c r="B32" s="825">
        <v>15</v>
      </c>
      <c r="C32" s="771" t="s">
        <v>2094</v>
      </c>
      <c r="D32" s="893"/>
      <c r="E32" s="771"/>
      <c r="F32" s="771"/>
      <c r="G32" s="817"/>
      <c r="H32" s="884"/>
      <c r="I32" s="929" t="str">
        <f t="shared" si="1"/>
        <v>2.4.2</v>
      </c>
      <c r="J32" s="929"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9">
        <f t="shared" si="3"/>
        <v>0</v>
      </c>
      <c r="L32" s="772" t="str">
        <f t="shared" si="4"/>
        <v>2.4.2</v>
      </c>
      <c r="M32" s="772"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2" t="str">
        <f t="shared" si="6"/>
        <v/>
      </c>
      <c r="O32" s="883" t="s">
        <v>2095</v>
      </c>
      <c r="P32" s="883" t="s">
        <v>734</v>
      </c>
      <c r="Q32" s="883" t="s">
        <v>2095</v>
      </c>
      <c r="R32" s="883" t="s">
        <v>734</v>
      </c>
      <c r="S32" s="883"/>
      <c r="T32" s="892"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4" t="s">
        <v>2096</v>
      </c>
      <c r="V32" s="774" t="s">
        <v>2096</v>
      </c>
      <c r="W32" s="774" t="s">
        <v>2096</v>
      </c>
      <c r="X32" s="771"/>
      <c r="Y32" s="925"/>
      <c r="Z32" s="774"/>
      <c r="AA32" s="777"/>
      <c r="AB32" s="777"/>
      <c r="AC32" s="777"/>
      <c r="AD32" s="774"/>
    </row>
    <row r="33" spans="1:30" ht="45" customHeight="1">
      <c r="A33" s="773"/>
      <c r="B33" s="825">
        <v>16</v>
      </c>
      <c r="C33" s="771">
        <v>10</v>
      </c>
      <c r="D33" s="893"/>
      <c r="E33" s="771"/>
      <c r="F33" s="771"/>
      <c r="G33" s="817"/>
      <c r="H33" s="884"/>
      <c r="I33" s="929" t="str">
        <f t="shared" si="1"/>
        <v>2.5</v>
      </c>
      <c r="J33" s="929"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29" t="str">
        <f t="shared" si="3"/>
        <v>Указывается общая сумма расходов на оплату труда и отчислений на социальные нужды административно-управленческого персонала.</v>
      </c>
      <c r="L33" s="772" t="str">
        <f t="shared" si="4"/>
        <v>2.5</v>
      </c>
      <c r="M33" s="772"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2" t="str">
        <f t="shared" si="6"/>
        <v>Указывается общая сумма расходов на оплату труда и отчислений на социальные нужды административно-управленческого персонала.</v>
      </c>
      <c r="O33" s="883" t="s">
        <v>740</v>
      </c>
      <c r="P33" s="883" t="s">
        <v>736</v>
      </c>
      <c r="Q33" s="883" t="s">
        <v>740</v>
      </c>
      <c r="R33" s="883" t="s">
        <v>736</v>
      </c>
      <c r="S33" s="883"/>
      <c r="T33" s="891"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4" t="s">
        <v>2097</v>
      </c>
      <c r="V33" s="774" t="s">
        <v>2097</v>
      </c>
      <c r="W33" s="774" t="s">
        <v>2098</v>
      </c>
      <c r="X33" s="771"/>
      <c r="Y33" s="925"/>
      <c r="Z33" s="774"/>
      <c r="AA33" s="777" t="s">
        <v>2099</v>
      </c>
      <c r="AB33" s="777" t="s">
        <v>2099</v>
      </c>
      <c r="AC33" s="777" t="s">
        <v>2099</v>
      </c>
      <c r="AD33" s="774"/>
    </row>
    <row r="34" spans="1:30" ht="27" customHeight="1">
      <c r="A34" s="773"/>
      <c r="B34" s="825">
        <v>17</v>
      </c>
      <c r="C34" s="771" t="s">
        <v>2100</v>
      </c>
      <c r="D34" s="893"/>
      <c r="E34" s="771"/>
      <c r="F34" s="771"/>
      <c r="G34" s="817"/>
      <c r="H34" s="884"/>
      <c r="I34" s="929" t="str">
        <f t="shared" si="1"/>
        <v>2.5.1</v>
      </c>
      <c r="J34" s="929" t="str">
        <f t="shared" si="2"/>
        <v>Расходы на оплату труда административно-управленческого персонала, в том числе:</v>
      </c>
      <c r="K34" s="929">
        <f t="shared" si="3"/>
        <v>0</v>
      </c>
      <c r="L34" s="772" t="str">
        <f t="shared" si="4"/>
        <v>2.5.1</v>
      </c>
      <c r="M34" s="772" t="str">
        <f t="shared" si="5"/>
        <v>Расходы на оплату труда административно-управленческого персонала, в том числе:</v>
      </c>
      <c r="N34" s="772" t="str">
        <f t="shared" si="6"/>
        <v/>
      </c>
      <c r="O34" s="883" t="s">
        <v>2101</v>
      </c>
      <c r="P34" s="883" t="s">
        <v>2083</v>
      </c>
      <c r="Q34" s="883" t="s">
        <v>2101</v>
      </c>
      <c r="R34" s="883" t="s">
        <v>2083</v>
      </c>
      <c r="S34" s="883"/>
      <c r="T34" s="892" t="s">
        <v>2102</v>
      </c>
      <c r="U34" s="774" t="s">
        <v>2102</v>
      </c>
      <c r="V34" s="774" t="s">
        <v>2102</v>
      </c>
      <c r="W34" s="774" t="s">
        <v>2103</v>
      </c>
      <c r="X34" s="771"/>
      <c r="Y34" s="925"/>
      <c r="Z34" s="774"/>
      <c r="AA34" s="777"/>
      <c r="AB34" s="774"/>
      <c r="AC34" s="774"/>
      <c r="AD34" s="774"/>
    </row>
    <row r="35" spans="1:30" ht="45" customHeight="1">
      <c r="A35" s="773"/>
      <c r="B35" s="825">
        <v>18</v>
      </c>
      <c r="C35" s="771" t="s">
        <v>2104</v>
      </c>
      <c r="D35" s="893"/>
      <c r="E35" s="771"/>
      <c r="F35" s="771"/>
      <c r="G35" s="817"/>
      <c r="H35" s="884"/>
      <c r="I35" s="929" t="str">
        <f t="shared" si="1"/>
        <v>2.5.2</v>
      </c>
      <c r="J35" s="929"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9">
        <f t="shared" si="3"/>
        <v>0</v>
      </c>
      <c r="L35" s="772" t="str">
        <f t="shared" si="4"/>
        <v>2.5.2</v>
      </c>
      <c r="M35" s="772"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2" t="str">
        <f t="shared" si="6"/>
        <v/>
      </c>
      <c r="O35" s="883" t="s">
        <v>2105</v>
      </c>
      <c r="P35" s="883" t="s">
        <v>2085</v>
      </c>
      <c r="Q35" s="883" t="s">
        <v>2105</v>
      </c>
      <c r="R35" s="883" t="s">
        <v>2085</v>
      </c>
      <c r="S35" s="883"/>
      <c r="T35" s="890"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4" t="s">
        <v>2106</v>
      </c>
      <c r="V35" s="774" t="s">
        <v>2106</v>
      </c>
      <c r="W35" s="774" t="s">
        <v>2106</v>
      </c>
      <c r="X35" s="771"/>
      <c r="Y35" s="925"/>
      <c r="Z35" s="774"/>
      <c r="AA35" s="777"/>
      <c r="AB35" s="774"/>
      <c r="AC35" s="774"/>
      <c r="AD35" s="774"/>
    </row>
    <row r="36" spans="1:30" ht="18" customHeight="1">
      <c r="A36" s="773"/>
      <c r="B36" s="825">
        <v>19</v>
      </c>
      <c r="C36" s="771">
        <v>11</v>
      </c>
      <c r="D36" s="893"/>
      <c r="E36" s="771"/>
      <c r="F36" s="771"/>
      <c r="G36" s="817"/>
      <c r="H36" s="884"/>
      <c r="I36" s="929" t="str">
        <f t="shared" si="1"/>
        <v>2.6</v>
      </c>
      <c r="J36" s="929" t="str">
        <f t="shared" si="2"/>
        <v>Расходы на амортизацию основных средств и нематериальных активов</v>
      </c>
      <c r="K36" s="929">
        <f t="shared" si="3"/>
        <v>0</v>
      </c>
      <c r="L36" s="772" t="str">
        <f t="shared" si="4"/>
        <v>2.6</v>
      </c>
      <c r="M36" s="772" t="str">
        <f t="shared" si="5"/>
        <v>Расходы на амортизацию основных средств и нематериальных активов</v>
      </c>
      <c r="N36" s="772" t="str">
        <f t="shared" si="6"/>
        <v/>
      </c>
      <c r="O36" s="883" t="s">
        <v>742</v>
      </c>
      <c r="P36" s="883" t="s">
        <v>738</v>
      </c>
      <c r="Q36" s="883" t="s">
        <v>742</v>
      </c>
      <c r="R36" s="883" t="s">
        <v>738</v>
      </c>
      <c r="S36" s="883"/>
      <c r="T36" s="890" t="s">
        <v>2107</v>
      </c>
      <c r="U36" s="774" t="s">
        <v>2107</v>
      </c>
      <c r="V36" s="774" t="s">
        <v>2107</v>
      </c>
      <c r="W36" s="774" t="s">
        <v>2107</v>
      </c>
      <c r="X36" s="771"/>
      <c r="Y36" s="925"/>
      <c r="Z36" s="774"/>
      <c r="AA36" s="777"/>
      <c r="AB36" s="774"/>
      <c r="AC36" s="774"/>
      <c r="AD36" s="774"/>
    </row>
    <row r="37" spans="1:30" ht="18" customHeight="1">
      <c r="A37" s="773"/>
      <c r="B37" s="825">
        <v>20</v>
      </c>
      <c r="C37" s="771" t="s">
        <v>2108</v>
      </c>
      <c r="D37" s="893"/>
      <c r="E37" s="771"/>
      <c r="F37" s="771"/>
      <c r="G37" s="817"/>
      <c r="H37" s="884"/>
      <c r="I37" s="929" t="str">
        <f t="shared" si="1"/>
        <v>2.6.1</v>
      </c>
      <c r="J37" s="929" t="str">
        <f t="shared" si="2"/>
        <v>Расходы на амортизацию основных средств</v>
      </c>
      <c r="K37" s="929">
        <f t="shared" si="3"/>
        <v>0</v>
      </c>
      <c r="L37" s="772" t="str">
        <f t="shared" si="4"/>
        <v>2.6.1</v>
      </c>
      <c r="M37" s="772" t="str">
        <f t="shared" si="5"/>
        <v>Расходы на амортизацию основных средств</v>
      </c>
      <c r="N37" s="772" t="str">
        <f t="shared" si="6"/>
        <v/>
      </c>
      <c r="O37" s="883" t="s">
        <v>2109</v>
      </c>
      <c r="P37" s="883" t="s">
        <v>2092</v>
      </c>
      <c r="Q37" s="883" t="s">
        <v>2109</v>
      </c>
      <c r="R37" s="883" t="s">
        <v>2092</v>
      </c>
      <c r="S37" s="883"/>
      <c r="T37" s="890" t="s">
        <v>2110</v>
      </c>
      <c r="U37" s="774" t="s">
        <v>2110</v>
      </c>
      <c r="V37" s="774" t="s">
        <v>2110</v>
      </c>
      <c r="W37" s="774" t="s">
        <v>2110</v>
      </c>
      <c r="X37" s="771"/>
      <c r="Y37" s="925"/>
      <c r="Z37" s="774"/>
      <c r="AA37" s="777"/>
      <c r="AB37" s="774"/>
      <c r="AC37" s="774"/>
      <c r="AD37" s="774"/>
    </row>
    <row r="38" spans="1:30" ht="18" customHeight="1">
      <c r="A38" s="773"/>
      <c r="B38" s="825">
        <v>21</v>
      </c>
      <c r="C38" s="771" t="s">
        <v>2111</v>
      </c>
      <c r="D38" s="893"/>
      <c r="E38" s="771"/>
      <c r="F38" s="771"/>
      <c r="G38" s="817"/>
      <c r="H38" s="884"/>
      <c r="I38" s="929" t="str">
        <f t="shared" si="1"/>
        <v>2.6.2</v>
      </c>
      <c r="J38" s="929" t="str">
        <f t="shared" si="2"/>
        <v>Расходы на амортизацию нематериальных активов</v>
      </c>
      <c r="K38" s="929">
        <f t="shared" si="3"/>
        <v>0</v>
      </c>
      <c r="L38" s="772" t="str">
        <f t="shared" si="4"/>
        <v>2.6.2</v>
      </c>
      <c r="M38" s="772" t="str">
        <f t="shared" si="5"/>
        <v>Расходы на амортизацию нематериальных активов</v>
      </c>
      <c r="N38" s="772" t="str">
        <f t="shared" si="6"/>
        <v/>
      </c>
      <c r="O38" s="883" t="s">
        <v>2112</v>
      </c>
      <c r="P38" s="883" t="s">
        <v>2095</v>
      </c>
      <c r="Q38" s="883" t="s">
        <v>2112</v>
      </c>
      <c r="R38" s="883" t="s">
        <v>2095</v>
      </c>
      <c r="S38" s="883"/>
      <c r="T38" s="890" t="s">
        <v>2113</v>
      </c>
      <c r="U38" s="774" t="s">
        <v>2113</v>
      </c>
      <c r="V38" s="774" t="s">
        <v>2113</v>
      </c>
      <c r="W38" s="774" t="s">
        <v>2113</v>
      </c>
      <c r="X38" s="771"/>
      <c r="Y38" s="925"/>
      <c r="Z38" s="774"/>
      <c r="AA38" s="777"/>
      <c r="AB38" s="774"/>
      <c r="AC38" s="774"/>
      <c r="AD38" s="774"/>
    </row>
    <row r="39" spans="1:30" ht="36" customHeight="1">
      <c r="A39" s="773"/>
      <c r="B39" s="825">
        <v>22</v>
      </c>
      <c r="C39" s="771">
        <v>12</v>
      </c>
      <c r="D39" s="893"/>
      <c r="E39" s="771"/>
      <c r="F39" s="771"/>
      <c r="G39" s="817"/>
      <c r="H39" s="884"/>
      <c r="I39" s="929" t="str">
        <f t="shared" si="1"/>
        <v>2.7</v>
      </c>
      <c r="J39" s="929" t="str">
        <f t="shared" si="2"/>
        <v>Расходы на аренду имущества, используемого для осуществления регулируемых видов деятельности в сфере водоотведения</v>
      </c>
      <c r="K39" s="929">
        <f t="shared" si="3"/>
        <v>0</v>
      </c>
      <c r="L39" s="772" t="str">
        <f t="shared" si="4"/>
        <v>2.7</v>
      </c>
      <c r="M39" s="772" t="str">
        <f t="shared" si="5"/>
        <v>Расходы на аренду имущества, используемого для осуществления регулируемых видов деятельности в сфере водоотведения</v>
      </c>
      <c r="N39" s="772" t="str">
        <f t="shared" si="6"/>
        <v/>
      </c>
      <c r="O39" s="883" t="s">
        <v>746</v>
      </c>
      <c r="P39" s="883" t="s">
        <v>740</v>
      </c>
      <c r="Q39" s="883" t="s">
        <v>746</v>
      </c>
      <c r="R39" s="883" t="s">
        <v>740</v>
      </c>
      <c r="S39" s="883"/>
      <c r="T39" s="890" t="s">
        <v>2114</v>
      </c>
      <c r="U39" s="774" t="s">
        <v>2115</v>
      </c>
      <c r="V39" s="774" t="s">
        <v>2116</v>
      </c>
      <c r="W39" s="774" t="s">
        <v>2117</v>
      </c>
      <c r="X39" s="771"/>
      <c r="Y39" s="925"/>
      <c r="Z39" s="774"/>
      <c r="AA39" s="777"/>
      <c r="AB39" s="774"/>
      <c r="AC39" s="774"/>
      <c r="AD39" s="774"/>
    </row>
    <row r="40" spans="1:30" ht="18" customHeight="1">
      <c r="A40" s="773"/>
      <c r="B40" s="825">
        <v>23</v>
      </c>
      <c r="C40" s="771">
        <v>13</v>
      </c>
      <c r="D40" s="893"/>
      <c r="E40" s="771"/>
      <c r="F40" s="771"/>
      <c r="G40" s="771"/>
      <c r="H40" s="820"/>
      <c r="I40" s="929" t="str">
        <f t="shared" si="1"/>
        <v>2.8</v>
      </c>
      <c r="J40" s="929" t="str">
        <f t="shared" si="2"/>
        <v>Общепроизводственные расходы, в том числе:</v>
      </c>
      <c r="K40" s="929" t="str">
        <f t="shared" si="3"/>
        <v>Указывается общая сумма общепроизводственных расходов.</v>
      </c>
      <c r="L40" s="772" t="str">
        <f t="shared" si="4"/>
        <v>2.8</v>
      </c>
      <c r="M40" s="772" t="str">
        <f t="shared" si="5"/>
        <v>Общепроизводственные расходы, в том числе:</v>
      </c>
      <c r="N40" s="772" t="str">
        <f t="shared" si="6"/>
        <v>Указывается общая сумма общепроизводственных расходов.</v>
      </c>
      <c r="O40" s="883" t="s">
        <v>2118</v>
      </c>
      <c r="P40" s="883" t="s">
        <v>742</v>
      </c>
      <c r="Q40" s="883" t="s">
        <v>2118</v>
      </c>
      <c r="R40" s="883" t="s">
        <v>742</v>
      </c>
      <c r="S40" s="883"/>
      <c r="T40" s="771" t="s">
        <v>2119</v>
      </c>
      <c r="U40" s="771" t="s">
        <v>2119</v>
      </c>
      <c r="V40" s="771" t="s">
        <v>2119</v>
      </c>
      <c r="W40" s="771" t="s">
        <v>2119</v>
      </c>
      <c r="X40" s="771"/>
      <c r="Y40" s="925"/>
      <c r="Z40" s="774" t="s">
        <v>2120</v>
      </c>
      <c r="AA40" s="777" t="s">
        <v>2120</v>
      </c>
      <c r="AB40" s="777" t="s">
        <v>2120</v>
      </c>
      <c r="AC40" s="777" t="s">
        <v>2120</v>
      </c>
      <c r="AD40" s="774"/>
    </row>
    <row r="41" spans="1:30" ht="27" customHeight="1">
      <c r="A41" s="773"/>
      <c r="B41" s="825">
        <v>24</v>
      </c>
      <c r="C41" s="771" t="s">
        <v>2121</v>
      </c>
      <c r="D41" s="893"/>
      <c r="E41" s="771"/>
      <c r="F41" s="771"/>
      <c r="G41" s="771"/>
      <c r="H41" s="817"/>
      <c r="I41" s="929" t="str">
        <f t="shared" si="1"/>
        <v>2.8.1</v>
      </c>
      <c r="J41" s="929" t="str">
        <f t="shared" si="2"/>
        <v>Расходы на текущий ремонт</v>
      </c>
      <c r="K41" s="929" t="str">
        <f t="shared" si="3"/>
        <v>Указываются расходы на текущий ремонт, отнесенные к общепроизводственным расходам.</v>
      </c>
      <c r="L41" s="772" t="str">
        <f t="shared" si="4"/>
        <v>2.8.1</v>
      </c>
      <c r="M41" s="772" t="str">
        <f t="shared" si="5"/>
        <v>Расходы на текущий ремонт</v>
      </c>
      <c r="N41" s="772" t="str">
        <f t="shared" si="6"/>
        <v>Указываются расходы на текущий ремонт, отнесенные к общепроизводственным расходам.</v>
      </c>
      <c r="O41" s="883" t="s">
        <v>2122</v>
      </c>
      <c r="P41" s="883" t="s">
        <v>2109</v>
      </c>
      <c r="Q41" s="883" t="s">
        <v>2122</v>
      </c>
      <c r="R41" s="883" t="s">
        <v>2109</v>
      </c>
      <c r="S41" s="883"/>
      <c r="T41" s="771" t="s">
        <v>2123</v>
      </c>
      <c r="U41" s="771" t="s">
        <v>2123</v>
      </c>
      <c r="V41" s="771" t="s">
        <v>2123</v>
      </c>
      <c r="W41" s="771" t="s">
        <v>2123</v>
      </c>
      <c r="X41" s="771"/>
      <c r="Y41" s="925"/>
      <c r="Z41" s="774" t="s">
        <v>2124</v>
      </c>
      <c r="AA41" s="774" t="s">
        <v>2124</v>
      </c>
      <c r="AB41" s="774" t="s">
        <v>2124</v>
      </c>
      <c r="AC41" s="774" t="s">
        <v>2124</v>
      </c>
      <c r="AD41" s="774"/>
    </row>
    <row r="42" spans="1:30" ht="27" customHeight="1">
      <c r="A42" s="773"/>
      <c r="B42" s="825">
        <v>25</v>
      </c>
      <c r="C42" s="771" t="s">
        <v>2125</v>
      </c>
      <c r="D42" s="893"/>
      <c r="E42" s="771"/>
      <c r="F42" s="771"/>
      <c r="G42" s="771"/>
      <c r="H42" s="817"/>
      <c r="I42" s="929" t="str">
        <f t="shared" si="1"/>
        <v>2.8.2</v>
      </c>
      <c r="J42" s="929" t="str">
        <f t="shared" si="2"/>
        <v>Расходы на капитальный ремонт</v>
      </c>
      <c r="K42" s="929" t="str">
        <f t="shared" si="3"/>
        <v>Указываются расходы на капитальный ремонт, отнесенные к общепроизводственным расходам.</v>
      </c>
      <c r="L42" s="772" t="str">
        <f t="shared" si="4"/>
        <v>2.8.2</v>
      </c>
      <c r="M42" s="772" t="str">
        <f t="shared" si="5"/>
        <v>Расходы на капитальный ремонт</v>
      </c>
      <c r="N42" s="772" t="str">
        <f t="shared" si="6"/>
        <v>Указываются расходы на капитальный ремонт, отнесенные к общепроизводственным расходам.</v>
      </c>
      <c r="O42" s="883" t="s">
        <v>2126</v>
      </c>
      <c r="P42" s="883" t="s">
        <v>2112</v>
      </c>
      <c r="Q42" s="883" t="s">
        <v>2126</v>
      </c>
      <c r="R42" s="883" t="s">
        <v>2112</v>
      </c>
      <c r="S42" s="883"/>
      <c r="T42" s="771" t="s">
        <v>2127</v>
      </c>
      <c r="U42" s="771" t="s">
        <v>2127</v>
      </c>
      <c r="V42" s="771" t="s">
        <v>2127</v>
      </c>
      <c r="W42" s="771" t="s">
        <v>2127</v>
      </c>
      <c r="X42" s="771"/>
      <c r="Y42" s="925"/>
      <c r="Z42" s="774" t="s">
        <v>2128</v>
      </c>
      <c r="AA42" s="774" t="s">
        <v>2128</v>
      </c>
      <c r="AB42" s="774" t="s">
        <v>2128</v>
      </c>
      <c r="AC42" s="774" t="s">
        <v>2128</v>
      </c>
      <c r="AD42" s="774"/>
    </row>
    <row r="43" spans="1:30" ht="18" customHeight="1">
      <c r="A43" s="773"/>
      <c r="B43" s="825">
        <v>26</v>
      </c>
      <c r="C43" s="771">
        <v>14</v>
      </c>
      <c r="D43" s="893"/>
      <c r="E43" s="771"/>
      <c r="F43" s="771"/>
      <c r="G43" s="771"/>
      <c r="H43" s="817"/>
      <c r="I43" s="929" t="str">
        <f t="shared" si="1"/>
        <v>2.9</v>
      </c>
      <c r="J43" s="929" t="str">
        <f t="shared" si="2"/>
        <v>Общехозяйственные расходы, в том числе:</v>
      </c>
      <c r="K43" s="929" t="str">
        <f t="shared" si="3"/>
        <v>Указывается общая сумма общехозяйственных расходов.</v>
      </c>
      <c r="L43" s="772" t="str">
        <f t="shared" si="4"/>
        <v>2.9</v>
      </c>
      <c r="M43" s="772" t="str">
        <f t="shared" si="5"/>
        <v>Общехозяйственные расходы, в том числе:</v>
      </c>
      <c r="N43" s="772" t="str">
        <f t="shared" si="6"/>
        <v>Указывается общая сумма общехозяйственных расходов.</v>
      </c>
      <c r="O43" s="883" t="s">
        <v>2129</v>
      </c>
      <c r="P43" s="883" t="s">
        <v>746</v>
      </c>
      <c r="Q43" s="883" t="s">
        <v>2129</v>
      </c>
      <c r="R43" s="883" t="s">
        <v>746</v>
      </c>
      <c r="S43" s="883"/>
      <c r="T43" s="771" t="s">
        <v>2130</v>
      </c>
      <c r="U43" s="771" t="s">
        <v>2130</v>
      </c>
      <c r="V43" s="771" t="s">
        <v>2130</v>
      </c>
      <c r="W43" s="771" t="s">
        <v>2130</v>
      </c>
      <c r="X43" s="771"/>
      <c r="Y43" s="925"/>
      <c r="Z43" s="774" t="s">
        <v>2131</v>
      </c>
      <c r="AA43" s="774" t="s">
        <v>2131</v>
      </c>
      <c r="AB43" s="774" t="s">
        <v>2131</v>
      </c>
      <c r="AC43" s="774" t="s">
        <v>2131</v>
      </c>
      <c r="AD43" s="774"/>
    </row>
    <row r="44" spans="1:30" ht="27" customHeight="1">
      <c r="A44" s="773"/>
      <c r="B44" s="825">
        <v>27</v>
      </c>
      <c r="C44" s="771" t="s">
        <v>2132</v>
      </c>
      <c r="D44" s="893"/>
      <c r="E44" s="771"/>
      <c r="F44" s="771"/>
      <c r="G44" s="771"/>
      <c r="H44" s="817"/>
      <c r="I44" s="929" t="str">
        <f t="shared" si="1"/>
        <v>2.9.1</v>
      </c>
      <c r="J44" s="929" t="str">
        <f t="shared" si="2"/>
        <v>Расходы на текущий ремонт</v>
      </c>
      <c r="K44" s="929" t="str">
        <f t="shared" si="3"/>
        <v>Указываются расходы на текущий ремонт, отнесенные к общехозяйственным расходам.</v>
      </c>
      <c r="L44" s="772" t="str">
        <f t="shared" si="4"/>
        <v>2.9.1</v>
      </c>
      <c r="M44" s="772" t="str">
        <f t="shared" si="5"/>
        <v>Расходы на текущий ремонт</v>
      </c>
      <c r="N44" s="772" t="str">
        <f t="shared" si="6"/>
        <v>Указываются расходы на текущий ремонт, отнесенные к общехозяйственным расходам.</v>
      </c>
      <c r="O44" s="883" t="s">
        <v>2133</v>
      </c>
      <c r="P44" s="883" t="s">
        <v>2134</v>
      </c>
      <c r="Q44" s="883" t="s">
        <v>2133</v>
      </c>
      <c r="R44" s="883" t="s">
        <v>2134</v>
      </c>
      <c r="S44" s="883"/>
      <c r="T44" s="771" t="s">
        <v>2123</v>
      </c>
      <c r="U44" s="771" t="s">
        <v>2123</v>
      </c>
      <c r="V44" s="771" t="s">
        <v>2123</v>
      </c>
      <c r="W44" s="771" t="s">
        <v>2123</v>
      </c>
      <c r="X44" s="771"/>
      <c r="Y44" s="925"/>
      <c r="Z44" s="774" t="s">
        <v>2135</v>
      </c>
      <c r="AA44" s="774" t="s">
        <v>2135</v>
      </c>
      <c r="AB44" s="774" t="s">
        <v>2135</v>
      </c>
      <c r="AC44" s="774" t="s">
        <v>2135</v>
      </c>
      <c r="AD44" s="774"/>
    </row>
    <row r="45" spans="1:30" ht="27" customHeight="1">
      <c r="A45" s="773"/>
      <c r="B45" s="825">
        <v>28</v>
      </c>
      <c r="C45" s="771" t="s">
        <v>2136</v>
      </c>
      <c r="D45" s="893"/>
      <c r="E45" s="771"/>
      <c r="F45" s="771"/>
      <c r="G45" s="771"/>
      <c r="H45" s="817"/>
      <c r="I45" s="929" t="str">
        <f t="shared" si="1"/>
        <v>2.9.2</v>
      </c>
      <c r="J45" s="929" t="str">
        <f t="shared" si="2"/>
        <v>Расходы на капитальный ремонт</v>
      </c>
      <c r="K45" s="929" t="str">
        <f t="shared" si="3"/>
        <v>Указываются расходы на капитальный ремонт, отнесенные к общехозяйственным расходам.</v>
      </c>
      <c r="L45" s="772" t="str">
        <f t="shared" si="4"/>
        <v>2.9.2</v>
      </c>
      <c r="M45" s="772" t="str">
        <f t="shared" si="5"/>
        <v>Расходы на капитальный ремонт</v>
      </c>
      <c r="N45" s="772" t="str">
        <f t="shared" si="6"/>
        <v>Указываются расходы на капитальный ремонт, отнесенные к общехозяйственным расходам.</v>
      </c>
      <c r="O45" s="883" t="s">
        <v>2137</v>
      </c>
      <c r="P45" s="883" t="s">
        <v>2138</v>
      </c>
      <c r="Q45" s="883" t="s">
        <v>2137</v>
      </c>
      <c r="R45" s="883" t="s">
        <v>2138</v>
      </c>
      <c r="S45" s="883"/>
      <c r="T45" s="771" t="s">
        <v>2127</v>
      </c>
      <c r="U45" s="771" t="s">
        <v>2127</v>
      </c>
      <c r="V45" s="771" t="s">
        <v>2127</v>
      </c>
      <c r="W45" s="771" t="s">
        <v>2127</v>
      </c>
      <c r="X45" s="771"/>
      <c r="Y45" s="925"/>
      <c r="Z45" s="774" t="s">
        <v>2139</v>
      </c>
      <c r="AA45" s="774" t="s">
        <v>2139</v>
      </c>
      <c r="AB45" s="774" t="s">
        <v>2139</v>
      </c>
      <c r="AC45" s="774" t="s">
        <v>2139</v>
      </c>
      <c r="AD45" s="774"/>
    </row>
    <row r="46" spans="1:30" ht="54" customHeight="1">
      <c r="A46" s="773"/>
      <c r="B46" s="825">
        <v>29</v>
      </c>
      <c r="C46" s="771">
        <v>15</v>
      </c>
      <c r="D46" s="893"/>
      <c r="E46" s="771"/>
      <c r="F46" s="771"/>
      <c r="G46" s="771"/>
      <c r="H46" s="817"/>
      <c r="I46" s="929" t="str">
        <f t="shared" si="1"/>
        <v>2.10</v>
      </c>
      <c r="J46" s="929" t="str">
        <f t="shared" si="2"/>
        <v>Расходы на капитальный и текущий ремонт основных средств</v>
      </c>
      <c r="K46" s="929"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2" t="str">
        <f t="shared" si="4"/>
        <v>2.10</v>
      </c>
      <c r="M46" s="772" t="str">
        <f t="shared" si="5"/>
        <v>Расходы на капитальный и текущий ремонт основных средств</v>
      </c>
      <c r="N46" s="772"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3" t="s">
        <v>2140</v>
      </c>
      <c r="P46" s="883" t="s">
        <v>2118</v>
      </c>
      <c r="Q46" s="883" t="s">
        <v>2140</v>
      </c>
      <c r="R46" s="883" t="s">
        <v>2118</v>
      </c>
      <c r="S46" s="883"/>
      <c r="T46" s="772"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1" t="s">
        <v>2141</v>
      </c>
      <c r="V46" s="771" t="s">
        <v>2141</v>
      </c>
      <c r="W46" s="771" t="s">
        <v>2141</v>
      </c>
      <c r="X46" s="771"/>
      <c r="Y46" s="925"/>
      <c r="Z46" s="774" t="s">
        <v>2142</v>
      </c>
      <c r="AA46" s="774" t="s">
        <v>2143</v>
      </c>
      <c r="AB46" s="774" t="s">
        <v>2143</v>
      </c>
      <c r="AC46" s="774" t="s">
        <v>2143</v>
      </c>
      <c r="AD46" s="774"/>
    </row>
    <row r="47" spans="1:30" ht="54" customHeight="1">
      <c r="A47" s="773"/>
      <c r="B47" s="825">
        <v>30</v>
      </c>
      <c r="C47" s="771" t="s">
        <v>2144</v>
      </c>
      <c r="D47" s="893"/>
      <c r="E47" s="771"/>
      <c r="F47" s="771"/>
      <c r="G47" s="771"/>
      <c r="H47" s="817"/>
      <c r="I47" s="929" t="str">
        <f t="shared" si="1"/>
        <v>2.10.1</v>
      </c>
      <c r="J47" s="929"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9">
        <f t="shared" si="3"/>
        <v>0</v>
      </c>
      <c r="L47" s="772" t="str">
        <f t="shared" si="4"/>
        <v>2.10.1</v>
      </c>
      <c r="M47" s="772"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2" t="str">
        <f t="shared" si="6"/>
        <v/>
      </c>
      <c r="O47" s="883" t="s">
        <v>2145</v>
      </c>
      <c r="P47" s="883" t="s">
        <v>2122</v>
      </c>
      <c r="Q47" s="883" t="s">
        <v>2145</v>
      </c>
      <c r="R47" s="883" t="s">
        <v>2122</v>
      </c>
      <c r="S47" s="883"/>
      <c r="T47" s="771" t="s">
        <v>2146</v>
      </c>
      <c r="U47" s="771" t="s">
        <v>2146</v>
      </c>
      <c r="V47" s="771" t="s">
        <v>2146</v>
      </c>
      <c r="W47" s="771" t="s">
        <v>2146</v>
      </c>
      <c r="X47" s="771"/>
      <c r="Y47" s="925"/>
      <c r="Z47" s="774"/>
      <c r="AA47" s="777"/>
      <c r="AB47" s="777"/>
      <c r="AC47" s="777"/>
      <c r="AD47" s="774"/>
    </row>
    <row r="48" spans="1:30" ht="54" customHeight="1">
      <c r="A48" s="773"/>
      <c r="B48" s="825">
        <v>31</v>
      </c>
      <c r="C48" s="771">
        <v>16</v>
      </c>
      <c r="D48" s="893"/>
      <c r="E48" s="771"/>
      <c r="F48" s="771"/>
      <c r="G48" s="771"/>
      <c r="H48" s="817"/>
      <c r="I48" s="929" t="str">
        <f t="shared" si="1"/>
        <v>2.11</v>
      </c>
      <c r="J48" s="929"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29"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2" t="str">
        <f t="shared" si="4"/>
        <v>2.11</v>
      </c>
      <c r="M48" s="772"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2"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3"/>
      <c r="P48" s="883" t="s">
        <v>2129</v>
      </c>
      <c r="Q48" s="883" t="s">
        <v>2147</v>
      </c>
      <c r="R48" s="883" t="s">
        <v>2129</v>
      </c>
      <c r="S48" s="883"/>
      <c r="T48" s="771"/>
      <c r="U48" s="771" t="s">
        <v>2148</v>
      </c>
      <c r="V48" s="771" t="s">
        <v>2149</v>
      </c>
      <c r="W48" s="771" t="s">
        <v>2149</v>
      </c>
      <c r="X48" s="771"/>
      <c r="Y48" s="925"/>
      <c r="Z48" s="774"/>
      <c r="AA48" s="777" t="s">
        <v>2143</v>
      </c>
      <c r="AB48" s="777" t="s">
        <v>2143</v>
      </c>
      <c r="AC48" s="777" t="s">
        <v>2143</v>
      </c>
      <c r="AD48" s="774"/>
    </row>
    <row r="49" spans="1:30" ht="54" customHeight="1">
      <c r="A49" s="773"/>
      <c r="B49" s="825">
        <v>32</v>
      </c>
      <c r="C49" s="771" t="s">
        <v>2150</v>
      </c>
      <c r="D49" s="893"/>
      <c r="E49" s="771"/>
      <c r="F49" s="771"/>
      <c r="G49" s="771"/>
      <c r="H49" s="817"/>
      <c r="I49" s="929" t="str">
        <f t="shared" si="1"/>
        <v>2.11.1</v>
      </c>
      <c r="J49" s="929"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29">
        <f t="shared" si="3"/>
        <v>0</v>
      </c>
      <c r="L49" s="772" t="str">
        <f t="shared" si="4"/>
        <v>2.11.1</v>
      </c>
      <c r="M49" s="772"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2" t="str">
        <f t="shared" si="6"/>
        <v/>
      </c>
      <c r="O49" s="883"/>
      <c r="P49" s="883" t="s">
        <v>2133</v>
      </c>
      <c r="Q49" s="883" t="s">
        <v>2151</v>
      </c>
      <c r="R49" s="883" t="s">
        <v>2133</v>
      </c>
      <c r="S49" s="883"/>
      <c r="T49" s="771"/>
      <c r="U49" s="771" t="s">
        <v>2146</v>
      </c>
      <c r="V49" s="771" t="s">
        <v>2146</v>
      </c>
      <c r="W49" s="771" t="s">
        <v>2146</v>
      </c>
      <c r="X49" s="771"/>
      <c r="Y49" s="925"/>
      <c r="Z49" s="774"/>
      <c r="AA49" s="777"/>
      <c r="AB49" s="777"/>
      <c r="AC49" s="777"/>
      <c r="AD49" s="774"/>
    </row>
    <row r="50" spans="1:30" ht="126" customHeight="1">
      <c r="A50" s="773"/>
      <c r="B50" s="825">
        <v>33</v>
      </c>
      <c r="C50" s="771">
        <v>17</v>
      </c>
      <c r="D50" s="893"/>
      <c r="E50" s="771"/>
      <c r="F50" s="771"/>
      <c r="G50" s="771"/>
      <c r="H50" s="817"/>
      <c r="I50" s="929" t="str">
        <f t="shared" ref="I50:I81" si="7">INDEX(TEMPLATE_NUMBER_POINT_FHD,B50,MATCH(TEMPLATE_SPHERE,TEMPLATE_SPHERE_LIST_FOR_NOTE,0))</f>
        <v>2.12</v>
      </c>
      <c r="J50" s="929"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29"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2" t="str">
        <f t="shared" ref="L50:L81" si="10">IF(I50=0,"",I50)</f>
        <v>2.12</v>
      </c>
      <c r="M50" s="772"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72"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3" t="s">
        <v>2147</v>
      </c>
      <c r="P50" s="883" t="s">
        <v>2140</v>
      </c>
      <c r="Q50" s="883" t="s">
        <v>2152</v>
      </c>
      <c r="R50" s="883" t="s">
        <v>2140</v>
      </c>
      <c r="S50" s="883"/>
      <c r="T50" s="771" t="s">
        <v>2153</v>
      </c>
      <c r="U50" s="771" t="s">
        <v>2154</v>
      </c>
      <c r="V50" s="771" t="s">
        <v>2155</v>
      </c>
      <c r="W50" s="771" t="s">
        <v>2156</v>
      </c>
      <c r="X50" s="771"/>
      <c r="Y50" s="925"/>
      <c r="Z50" s="774" t="s">
        <v>2157</v>
      </c>
      <c r="AA50" s="777" t="s">
        <v>2158</v>
      </c>
      <c r="AB50" s="777" t="s">
        <v>2158</v>
      </c>
      <c r="AC50" s="777" t="s">
        <v>2158</v>
      </c>
      <c r="AD50" s="774"/>
    </row>
    <row r="51" spans="1:30" ht="27" customHeight="1">
      <c r="A51" s="773"/>
      <c r="B51" s="825">
        <v>34</v>
      </c>
      <c r="C51" s="771" t="s">
        <v>2159</v>
      </c>
      <c r="D51" s="893"/>
      <c r="E51" s="771"/>
      <c r="F51" s="771"/>
      <c r="G51" s="771"/>
      <c r="H51" s="817"/>
      <c r="I51" s="929">
        <f t="shared" si="7"/>
        <v>0</v>
      </c>
      <c r="J51" s="929">
        <f t="shared" si="8"/>
        <v>0</v>
      </c>
      <c r="K51" s="929">
        <f t="shared" si="9"/>
        <v>0</v>
      </c>
      <c r="L51" s="772" t="str">
        <f t="shared" si="10"/>
        <v/>
      </c>
      <c r="M51" s="772" t="str">
        <f t="shared" si="11"/>
        <v/>
      </c>
      <c r="N51" s="772" t="str">
        <f t="shared" si="12"/>
        <v/>
      </c>
      <c r="O51" s="883" t="s">
        <v>89</v>
      </c>
      <c r="P51" s="883"/>
      <c r="Q51" s="883"/>
      <c r="R51" s="883"/>
      <c r="S51" s="883"/>
      <c r="T51" s="771" t="s">
        <v>2160</v>
      </c>
      <c r="U51" s="771"/>
      <c r="V51" s="771"/>
      <c r="W51" s="771"/>
      <c r="X51" s="771"/>
      <c r="Y51" s="925"/>
      <c r="Z51" s="774"/>
      <c r="AA51" s="777"/>
      <c r="AB51" s="777"/>
      <c r="AC51" s="777"/>
      <c r="AD51" s="774"/>
    </row>
    <row r="52" spans="1:30" ht="36" customHeight="1">
      <c r="A52" s="773"/>
      <c r="B52" s="825">
        <v>35</v>
      </c>
      <c r="C52" s="771" t="s">
        <v>2053</v>
      </c>
      <c r="D52" s="893" t="s">
        <v>2053</v>
      </c>
      <c r="E52" s="771" t="s">
        <v>2053</v>
      </c>
      <c r="F52" s="771" t="s">
        <v>2053</v>
      </c>
      <c r="G52" s="771"/>
      <c r="H52" s="817"/>
      <c r="I52" s="929" t="str">
        <f t="shared" si="7"/>
        <v>3</v>
      </c>
      <c r="J52" s="929" t="str">
        <f t="shared" si="8"/>
        <v>Чистая прибыль, полученная от регулируемого вида деятельности в сфере водоотведения, в том числе:</v>
      </c>
      <c r="K52" s="929" t="str">
        <f t="shared" si="9"/>
        <v>Указывается общая сумма чистой прибыли, полученной от регулируемого вида деятельности.</v>
      </c>
      <c r="L52" s="772" t="str">
        <f t="shared" si="10"/>
        <v>3</v>
      </c>
      <c r="M52" s="772" t="str">
        <f t="shared" si="11"/>
        <v>Чистая прибыль, полученная от регулируемого вида деятельности в сфере водоотведения, в том числе:</v>
      </c>
      <c r="N52" s="772" t="str">
        <f t="shared" si="12"/>
        <v>Указывается общая сумма чистой прибыли, полученной от регулируемого вида деятельности.</v>
      </c>
      <c r="O52" s="883" t="s">
        <v>90</v>
      </c>
      <c r="P52" s="883" t="s">
        <v>89</v>
      </c>
      <c r="Q52" s="883" t="s">
        <v>89</v>
      </c>
      <c r="R52" s="883" t="s">
        <v>89</v>
      </c>
      <c r="S52" s="883"/>
      <c r="T52" s="771" t="s">
        <v>2161</v>
      </c>
      <c r="U52" s="771" t="s">
        <v>2162</v>
      </c>
      <c r="V52" s="771" t="s">
        <v>2163</v>
      </c>
      <c r="W52" s="771" t="s">
        <v>2164</v>
      </c>
      <c r="X52" s="771"/>
      <c r="Y52" s="925"/>
      <c r="Z52" s="774" t="s">
        <v>750</v>
      </c>
      <c r="AA52" s="777" t="s">
        <v>750</v>
      </c>
      <c r="AB52" s="777" t="s">
        <v>750</v>
      </c>
      <c r="AC52" s="777" t="s">
        <v>750</v>
      </c>
      <c r="AD52" s="774"/>
    </row>
    <row r="53" spans="1:30" ht="36" customHeight="1">
      <c r="A53" s="773"/>
      <c r="B53" s="825">
        <v>36</v>
      </c>
      <c r="C53" s="771">
        <v>1</v>
      </c>
      <c r="D53" s="893"/>
      <c r="E53" s="771"/>
      <c r="F53" s="771"/>
      <c r="G53" s="771"/>
      <c r="H53" s="817"/>
      <c r="I53" s="929" t="str">
        <f t="shared" si="7"/>
        <v>3.1</v>
      </c>
      <c r="J53" s="929"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9">
        <f t="shared" si="9"/>
        <v>0</v>
      </c>
      <c r="L53" s="772" t="str">
        <f t="shared" si="10"/>
        <v>3.1</v>
      </c>
      <c r="M53" s="772"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2" t="str">
        <f t="shared" si="12"/>
        <v/>
      </c>
      <c r="O53" s="883" t="s">
        <v>754</v>
      </c>
      <c r="P53" s="883" t="s">
        <v>322</v>
      </c>
      <c r="Q53" s="883" t="s">
        <v>322</v>
      </c>
      <c r="R53" s="883" t="s">
        <v>322</v>
      </c>
      <c r="S53" s="883"/>
      <c r="T53" s="771" t="s">
        <v>2165</v>
      </c>
      <c r="U53" s="771" t="s">
        <v>2165</v>
      </c>
      <c r="V53" s="771" t="s">
        <v>2165</v>
      </c>
      <c r="W53" s="771" t="s">
        <v>2165</v>
      </c>
      <c r="X53" s="771"/>
      <c r="Y53" s="925"/>
      <c r="Z53" s="774"/>
      <c r="AA53" s="777"/>
      <c r="AB53" s="774"/>
      <c r="AC53" s="774"/>
      <c r="AD53" s="774"/>
    </row>
    <row r="54" spans="1:30" ht="18" customHeight="1">
      <c r="A54" s="773"/>
      <c r="B54" s="825">
        <v>37</v>
      </c>
      <c r="C54" s="771" t="s">
        <v>2059</v>
      </c>
      <c r="D54" s="893" t="s">
        <v>2059</v>
      </c>
      <c r="E54" s="771" t="s">
        <v>2059</v>
      </c>
      <c r="F54" s="771" t="s">
        <v>2059</v>
      </c>
      <c r="G54" s="771"/>
      <c r="H54" s="817"/>
      <c r="I54" s="929" t="str">
        <f t="shared" si="7"/>
        <v>4</v>
      </c>
      <c r="J54" s="929" t="str">
        <f t="shared" si="8"/>
        <v>Изменение стоимости основных фондов, в том числе:</v>
      </c>
      <c r="K54" s="929" t="str">
        <f t="shared" si="9"/>
        <v>Указывается общее изменение стоимости основных фондов.</v>
      </c>
      <c r="L54" s="772" t="str">
        <f t="shared" si="10"/>
        <v>4</v>
      </c>
      <c r="M54" s="772" t="str">
        <f t="shared" si="11"/>
        <v>Изменение стоимости основных фондов, в том числе:</v>
      </c>
      <c r="N54" s="772" t="str">
        <f t="shared" si="12"/>
        <v>Указывается общее изменение стоимости основных фондов.</v>
      </c>
      <c r="O54" s="883" t="s">
        <v>110</v>
      </c>
      <c r="P54" s="883" t="s">
        <v>90</v>
      </c>
      <c r="Q54" s="883" t="s">
        <v>90</v>
      </c>
      <c r="R54" s="883" t="s">
        <v>90</v>
      </c>
      <c r="S54" s="883"/>
      <c r="T54" s="771" t="s">
        <v>752</v>
      </c>
      <c r="U54" s="771" t="s">
        <v>752</v>
      </c>
      <c r="V54" s="771" t="s">
        <v>752</v>
      </c>
      <c r="W54" s="771" t="s">
        <v>752</v>
      </c>
      <c r="X54" s="771"/>
      <c r="Y54" s="925"/>
      <c r="Z54" s="774" t="s">
        <v>753</v>
      </c>
      <c r="AA54" s="774" t="s">
        <v>753</v>
      </c>
      <c r="AB54" s="774" t="s">
        <v>753</v>
      </c>
      <c r="AC54" s="774" t="s">
        <v>753</v>
      </c>
      <c r="AD54" s="774"/>
    </row>
    <row r="55" spans="1:30" ht="36" customHeight="1">
      <c r="A55" s="773"/>
      <c r="B55" s="825">
        <v>38</v>
      </c>
      <c r="C55" s="771">
        <v>1</v>
      </c>
      <c r="D55" s="893"/>
      <c r="E55" s="771"/>
      <c r="F55" s="771"/>
      <c r="G55" s="771"/>
      <c r="H55" s="817"/>
      <c r="I55" s="929" t="str">
        <f t="shared" si="7"/>
        <v>4.1</v>
      </c>
      <c r="J55" s="929" t="str">
        <f t="shared" si="8"/>
        <v>Изменение стоимости основных фондов за счет их ввода в эксплуатацию (вывода из эксплуатации)</v>
      </c>
      <c r="K55" s="929" t="str">
        <f t="shared" si="9"/>
        <v>Указываются общее изменение стоимости основных фондов за счет их ввода в эксплуатацию и вывода из эксплуатации.</v>
      </c>
      <c r="L55" s="772" t="str">
        <f t="shared" si="10"/>
        <v>4.1</v>
      </c>
      <c r="M55" s="772" t="str">
        <f t="shared" si="11"/>
        <v>Изменение стоимости основных фондов за счет их ввода в эксплуатацию (вывода из эксплуатации)</v>
      </c>
      <c r="N55" s="772" t="str">
        <f t="shared" si="12"/>
        <v>Указываются общее изменение стоимости основных фондов за счет их ввода в эксплуатацию и вывода из эксплуатации.</v>
      </c>
      <c r="O55" s="883" t="s">
        <v>311</v>
      </c>
      <c r="P55" s="883" t="s">
        <v>754</v>
      </c>
      <c r="Q55" s="883" t="s">
        <v>754</v>
      </c>
      <c r="R55" s="883" t="s">
        <v>754</v>
      </c>
      <c r="S55" s="883"/>
      <c r="T55" s="772"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1" t="s">
        <v>2166</v>
      </c>
      <c r="V55" s="771" t="s">
        <v>2166</v>
      </c>
      <c r="W55" s="771" t="s">
        <v>2166</v>
      </c>
      <c r="X55" s="771"/>
      <c r="Y55" s="925"/>
      <c r="Z55" s="774" t="s">
        <v>2167</v>
      </c>
      <c r="AA55" s="774" t="s">
        <v>2167</v>
      </c>
      <c r="AB55" s="774" t="s">
        <v>2167</v>
      </c>
      <c r="AC55" s="774" t="s">
        <v>2167</v>
      </c>
      <c r="AD55" s="774"/>
    </row>
    <row r="56" spans="1:30" ht="27" customHeight="1">
      <c r="A56" s="773"/>
      <c r="B56" s="825">
        <v>39</v>
      </c>
      <c r="C56" s="771" t="s">
        <v>1056</v>
      </c>
      <c r="D56" s="893"/>
      <c r="E56" s="771"/>
      <c r="F56" s="771"/>
      <c r="G56" s="771"/>
      <c r="H56" s="817"/>
      <c r="I56" s="929" t="str">
        <f t="shared" si="7"/>
        <v>4.1.1</v>
      </c>
      <c r="J56" s="929" t="str">
        <f t="shared" si="8"/>
        <v>Изменение стоимости основных фондов за счет их ввода в эксплуатацию</v>
      </c>
      <c r="K56" s="929" t="str">
        <f t="shared" si="9"/>
        <v>Указываются изменение стоимости основных фондов за счет их ввода в эксплуатацию.</v>
      </c>
      <c r="L56" s="772" t="str">
        <f t="shared" si="10"/>
        <v>4.1.1</v>
      </c>
      <c r="M56" s="772" t="str">
        <f t="shared" si="11"/>
        <v>Изменение стоимости основных фондов за счет их ввода в эксплуатацию</v>
      </c>
      <c r="N56" s="772" t="str">
        <f t="shared" si="12"/>
        <v>Указываются изменение стоимости основных фондов за счет их ввода в эксплуатацию.</v>
      </c>
      <c r="O56" s="883" t="s">
        <v>1176</v>
      </c>
      <c r="P56" s="883" t="s">
        <v>757</v>
      </c>
      <c r="Q56" s="883" t="s">
        <v>757</v>
      </c>
      <c r="R56" s="883" t="s">
        <v>757</v>
      </c>
      <c r="S56" s="883"/>
      <c r="T56" s="772"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1" t="s">
        <v>2168</v>
      </c>
      <c r="V56" s="771" t="s">
        <v>2168</v>
      </c>
      <c r="W56" s="771" t="s">
        <v>2168</v>
      </c>
      <c r="X56" s="771"/>
      <c r="Y56" s="925"/>
      <c r="Z56" s="774" t="s">
        <v>759</v>
      </c>
      <c r="AA56" s="774" t="s">
        <v>759</v>
      </c>
      <c r="AB56" s="774" t="s">
        <v>759</v>
      </c>
      <c r="AC56" s="774" t="s">
        <v>759</v>
      </c>
      <c r="AD56" s="774"/>
    </row>
    <row r="57" spans="1:30" ht="27" customHeight="1">
      <c r="A57" s="773"/>
      <c r="B57" s="825">
        <v>40</v>
      </c>
      <c r="C57" s="771" t="s">
        <v>1058</v>
      </c>
      <c r="D57" s="893"/>
      <c r="E57" s="771"/>
      <c r="F57" s="771"/>
      <c r="G57" s="771"/>
      <c r="H57" s="817"/>
      <c r="I57" s="929" t="str">
        <f t="shared" si="7"/>
        <v>4.1.2</v>
      </c>
      <c r="J57" s="929" t="str">
        <f t="shared" si="8"/>
        <v>Изменение стоимости основных фондов за счет их вывода в эксплуатацию</v>
      </c>
      <c r="K57" s="929" t="str">
        <f t="shared" si="9"/>
        <v>Указываются изменение стоимости основных фондов за счет их вывода из эксплуатации.</v>
      </c>
      <c r="L57" s="772" t="str">
        <f t="shared" si="10"/>
        <v>4.1.2</v>
      </c>
      <c r="M57" s="772" t="str">
        <f t="shared" si="11"/>
        <v>Изменение стоимости основных фондов за счет их вывода в эксплуатацию</v>
      </c>
      <c r="N57" s="772" t="str">
        <f t="shared" si="12"/>
        <v>Указываются изменение стоимости основных фондов за счет их вывода из эксплуатации.</v>
      </c>
      <c r="O57" s="883" t="s">
        <v>2169</v>
      </c>
      <c r="P57" s="883" t="s">
        <v>760</v>
      </c>
      <c r="Q57" s="883" t="s">
        <v>760</v>
      </c>
      <c r="R57" s="883" t="s">
        <v>760</v>
      </c>
      <c r="S57" s="883"/>
      <c r="T57" s="772"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1" t="s">
        <v>2170</v>
      </c>
      <c r="V57" s="771" t="s">
        <v>2170</v>
      </c>
      <c r="W57" s="771" t="s">
        <v>2170</v>
      </c>
      <c r="X57" s="771"/>
      <c r="Y57" s="925"/>
      <c r="Z57" s="774" t="s">
        <v>762</v>
      </c>
      <c r="AA57" s="774" t="s">
        <v>762</v>
      </c>
      <c r="AB57" s="774" t="s">
        <v>762</v>
      </c>
      <c r="AC57" s="774" t="s">
        <v>762</v>
      </c>
      <c r="AD57" s="774"/>
    </row>
    <row r="58" spans="1:30" ht="18" customHeight="1">
      <c r="A58" s="773"/>
      <c r="B58" s="825">
        <v>41</v>
      </c>
      <c r="C58" s="771">
        <v>2</v>
      </c>
      <c r="D58" s="893"/>
      <c r="E58" s="771"/>
      <c r="F58" s="771"/>
      <c r="G58" s="771"/>
      <c r="H58" s="817"/>
      <c r="I58" s="929" t="str">
        <f t="shared" si="7"/>
        <v>4.2</v>
      </c>
      <c r="J58" s="929" t="str">
        <f t="shared" si="8"/>
        <v>Изменение стоимости основных фондов за счет их переоценки</v>
      </c>
      <c r="K58" s="929">
        <f t="shared" si="9"/>
        <v>0</v>
      </c>
      <c r="L58" s="772" t="str">
        <f t="shared" si="10"/>
        <v>4.2</v>
      </c>
      <c r="M58" s="772" t="str">
        <f t="shared" si="11"/>
        <v>Изменение стоимости основных фондов за счет их переоценки</v>
      </c>
      <c r="N58" s="772" t="str">
        <f t="shared" si="12"/>
        <v/>
      </c>
      <c r="O58" s="883" t="s">
        <v>882</v>
      </c>
      <c r="P58" s="883" t="s">
        <v>796</v>
      </c>
      <c r="Q58" s="883" t="s">
        <v>796</v>
      </c>
      <c r="R58" s="883" t="s">
        <v>796</v>
      </c>
      <c r="S58" s="883"/>
      <c r="T58" s="772" t="str">
        <f>IF(TITLE_TYPE_ORG="Регулируемая организация","Изменение стоимости основных фондов за счет их переоценки","за счет их переоценки")</f>
        <v>за счет их переоценки</v>
      </c>
      <c r="U58" s="771" t="s">
        <v>2171</v>
      </c>
      <c r="V58" s="771" t="s">
        <v>2171</v>
      </c>
      <c r="W58" s="771" t="s">
        <v>2171</v>
      </c>
      <c r="X58" s="771"/>
      <c r="Y58" s="925"/>
      <c r="Z58" s="774"/>
      <c r="AA58" s="777"/>
      <c r="AB58" s="774"/>
      <c r="AC58" s="774"/>
      <c r="AD58" s="774"/>
    </row>
    <row r="59" spans="1:30" ht="36" customHeight="1">
      <c r="A59" s="773"/>
      <c r="B59" s="825">
        <v>42</v>
      </c>
      <c r="C59" s="771">
        <v>3</v>
      </c>
      <c r="D59" s="893" t="s">
        <v>2159</v>
      </c>
      <c r="E59" s="771" t="s">
        <v>2159</v>
      </c>
      <c r="F59" s="771" t="s">
        <v>2159</v>
      </c>
      <c r="G59" s="771"/>
      <c r="H59" s="817"/>
      <c r="I59" s="929" t="str">
        <f t="shared" si="7"/>
        <v>5</v>
      </c>
      <c r="J59" s="929" t="str">
        <f t="shared" si="8"/>
        <v>Валовая прибыль (убытки) от продажи товаров и услуг по регулируемым видам деятельности в сфере водоотведения</v>
      </c>
      <c r="K59" s="929">
        <f t="shared" si="9"/>
        <v>0</v>
      </c>
      <c r="L59" s="772" t="str">
        <f t="shared" si="10"/>
        <v>5</v>
      </c>
      <c r="M59" s="772" t="str">
        <f t="shared" si="11"/>
        <v>Валовая прибыль (убытки) от продажи товаров и услуг по регулируемым видам деятельности в сфере водоотведения</v>
      </c>
      <c r="N59" s="772" t="str">
        <f t="shared" si="12"/>
        <v/>
      </c>
      <c r="O59" s="883"/>
      <c r="P59" s="883" t="s">
        <v>110</v>
      </c>
      <c r="Q59" s="883" t="s">
        <v>110</v>
      </c>
      <c r="R59" s="883" t="s">
        <v>110</v>
      </c>
      <c r="S59" s="883"/>
      <c r="T59" s="771"/>
      <c r="U59" s="771" t="s">
        <v>2172</v>
      </c>
      <c r="V59" s="771" t="s">
        <v>2173</v>
      </c>
      <c r="W59" s="771" t="s">
        <v>2174</v>
      </c>
      <c r="X59" s="771"/>
      <c r="Y59" s="925"/>
      <c r="Z59" s="774"/>
      <c r="AA59" s="777"/>
      <c r="AB59" s="774"/>
      <c r="AC59" s="774"/>
      <c r="AD59" s="774"/>
    </row>
    <row r="60" spans="1:30" ht="81" customHeight="1">
      <c r="A60" s="773"/>
      <c r="B60" s="825">
        <v>43</v>
      </c>
      <c r="C60" s="771" t="s">
        <v>2175</v>
      </c>
      <c r="D60" s="893" t="s">
        <v>2175</v>
      </c>
      <c r="E60" s="771" t="s">
        <v>2175</v>
      </c>
      <c r="F60" s="771" t="s">
        <v>2175</v>
      </c>
      <c r="G60" s="771"/>
      <c r="H60" s="817"/>
      <c r="I60" s="929" t="str">
        <f t="shared" si="7"/>
        <v>6</v>
      </c>
      <c r="J60" s="929" t="str">
        <f t="shared" si="8"/>
        <v>Годовая бухгалтерская (финансовая) отчетность, включая бухгалтерский баланс и приложения к нему</v>
      </c>
      <c r="K60" s="929"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2" t="str">
        <f t="shared" si="10"/>
        <v>6</v>
      </c>
      <c r="M60" s="772" t="str">
        <f t="shared" si="11"/>
        <v>Годовая бухгалтерская (финансовая) отчетность, включая бухгалтерский баланс и приложения к нему</v>
      </c>
      <c r="N60" s="772"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3" t="s">
        <v>91</v>
      </c>
      <c r="P60" s="883" t="s">
        <v>91</v>
      </c>
      <c r="Q60" s="883" t="s">
        <v>91</v>
      </c>
      <c r="R60" s="883" t="s">
        <v>91</v>
      </c>
      <c r="S60" s="883"/>
      <c r="T60" s="771" t="s">
        <v>630</v>
      </c>
      <c r="U60" s="771" t="s">
        <v>630</v>
      </c>
      <c r="V60" s="771" t="s">
        <v>630</v>
      </c>
      <c r="W60" s="771" t="s">
        <v>630</v>
      </c>
      <c r="X60" s="771"/>
      <c r="Y60" s="925"/>
      <c r="Z60" s="774" t="s">
        <v>2176</v>
      </c>
      <c r="AA60" s="777" t="s">
        <v>2177</v>
      </c>
      <c r="AB60" s="774" t="s">
        <v>2178</v>
      </c>
      <c r="AC60" s="774" t="s">
        <v>2177</v>
      </c>
      <c r="AD60" s="774"/>
    </row>
    <row r="61" spans="1:30" ht="9" customHeight="1">
      <c r="A61" s="773"/>
      <c r="B61" s="825">
        <v>44</v>
      </c>
      <c r="C61" s="771"/>
      <c r="D61" s="893" t="s">
        <v>2179</v>
      </c>
      <c r="E61" s="771"/>
      <c r="F61" s="771"/>
      <c r="G61" s="771"/>
      <c r="H61" s="817"/>
      <c r="I61" s="929">
        <f t="shared" si="7"/>
        <v>0</v>
      </c>
      <c r="J61" s="929">
        <f t="shared" si="8"/>
        <v>0</v>
      </c>
      <c r="K61" s="929">
        <f t="shared" si="9"/>
        <v>0</v>
      </c>
      <c r="L61" s="772" t="str">
        <f t="shared" si="10"/>
        <v/>
      </c>
      <c r="M61" s="772" t="str">
        <f t="shared" si="11"/>
        <v/>
      </c>
      <c r="N61" s="772" t="str">
        <f t="shared" si="12"/>
        <v/>
      </c>
      <c r="O61" s="883"/>
      <c r="P61" s="883" t="s">
        <v>92</v>
      </c>
      <c r="Q61" s="883"/>
      <c r="R61" s="883"/>
      <c r="S61" s="883"/>
      <c r="T61" s="771"/>
      <c r="U61" s="771" t="s">
        <v>2180</v>
      </c>
      <c r="V61" s="771"/>
      <c r="W61" s="771"/>
      <c r="X61" s="771"/>
      <c r="Y61" s="925"/>
      <c r="Z61" s="774"/>
      <c r="AA61" s="777"/>
      <c r="AB61" s="774"/>
      <c r="AC61" s="774"/>
      <c r="AD61" s="774"/>
    </row>
    <row r="62" spans="1:30" ht="9" customHeight="1">
      <c r="A62" s="773"/>
      <c r="B62" s="825">
        <v>45</v>
      </c>
      <c r="C62" s="771"/>
      <c r="D62" s="893" t="s">
        <v>2181</v>
      </c>
      <c r="E62" s="771"/>
      <c r="F62" s="771"/>
      <c r="G62" s="771"/>
      <c r="H62" s="817"/>
      <c r="I62" s="929">
        <f t="shared" si="7"/>
        <v>0</v>
      </c>
      <c r="J62" s="929">
        <f t="shared" si="8"/>
        <v>0</v>
      </c>
      <c r="K62" s="929">
        <f t="shared" si="9"/>
        <v>0</v>
      </c>
      <c r="L62" s="772" t="str">
        <f t="shared" si="10"/>
        <v/>
      </c>
      <c r="M62" s="772" t="str">
        <f t="shared" si="11"/>
        <v/>
      </c>
      <c r="N62" s="772" t="str">
        <f t="shared" si="12"/>
        <v/>
      </c>
      <c r="O62" s="883"/>
      <c r="P62" s="883" t="s">
        <v>111</v>
      </c>
      <c r="Q62" s="883"/>
      <c r="R62" s="883"/>
      <c r="S62" s="883"/>
      <c r="T62" s="771"/>
      <c r="U62" s="771" t="s">
        <v>2182</v>
      </c>
      <c r="V62" s="771"/>
      <c r="W62" s="771"/>
      <c r="X62" s="771"/>
      <c r="Y62" s="925"/>
      <c r="Z62" s="774"/>
      <c r="AA62" s="777"/>
      <c r="AB62" s="774"/>
      <c r="AC62" s="774"/>
      <c r="AD62" s="774"/>
    </row>
    <row r="63" spans="1:30" ht="18" customHeight="1">
      <c r="A63" s="773"/>
      <c r="B63" s="825">
        <v>46</v>
      </c>
      <c r="C63" s="771"/>
      <c r="D63" s="893" t="s">
        <v>2183</v>
      </c>
      <c r="E63" s="771"/>
      <c r="F63" s="771"/>
      <c r="G63" s="771"/>
      <c r="H63" s="817"/>
      <c r="I63" s="929">
        <f t="shared" si="7"/>
        <v>0</v>
      </c>
      <c r="J63" s="929">
        <f t="shared" si="8"/>
        <v>0</v>
      </c>
      <c r="K63" s="929">
        <f t="shared" si="9"/>
        <v>0</v>
      </c>
      <c r="L63" s="772" t="str">
        <f t="shared" si="10"/>
        <v/>
      </c>
      <c r="M63" s="772" t="str">
        <f t="shared" si="11"/>
        <v/>
      </c>
      <c r="N63" s="772" t="str">
        <f t="shared" si="12"/>
        <v/>
      </c>
      <c r="O63" s="883"/>
      <c r="P63" s="883" t="s">
        <v>148</v>
      </c>
      <c r="Q63" s="883"/>
      <c r="R63" s="883"/>
      <c r="S63" s="883"/>
      <c r="T63" s="771"/>
      <c r="U63" s="771" t="s">
        <v>2184</v>
      </c>
      <c r="V63" s="771"/>
      <c r="W63" s="771"/>
      <c r="X63" s="771"/>
      <c r="Y63" s="925"/>
      <c r="Z63" s="774"/>
      <c r="AA63" s="777"/>
      <c r="AB63" s="774"/>
      <c r="AC63" s="774"/>
      <c r="AD63" s="774"/>
    </row>
    <row r="64" spans="1:30" ht="18" customHeight="1">
      <c r="A64" s="773"/>
      <c r="B64" s="825">
        <v>47</v>
      </c>
      <c r="C64" s="771"/>
      <c r="D64" s="893" t="s">
        <v>2185</v>
      </c>
      <c r="E64" s="771"/>
      <c r="F64" s="771"/>
      <c r="G64" s="771"/>
      <c r="H64" s="817"/>
      <c r="I64" s="929">
        <f t="shared" si="7"/>
        <v>0</v>
      </c>
      <c r="J64" s="929">
        <f t="shared" si="8"/>
        <v>0</v>
      </c>
      <c r="K64" s="929">
        <f t="shared" si="9"/>
        <v>0</v>
      </c>
      <c r="L64" s="772" t="str">
        <f t="shared" si="10"/>
        <v/>
      </c>
      <c r="M64" s="772" t="str">
        <f t="shared" si="11"/>
        <v/>
      </c>
      <c r="N64" s="772" t="str">
        <f t="shared" si="12"/>
        <v/>
      </c>
      <c r="O64" s="883"/>
      <c r="P64" s="883" t="s">
        <v>149</v>
      </c>
      <c r="Q64" s="883"/>
      <c r="R64" s="883"/>
      <c r="S64" s="883"/>
      <c r="T64" s="771"/>
      <c r="U64" s="771" t="s">
        <v>2186</v>
      </c>
      <c r="V64" s="771"/>
      <c r="W64" s="771"/>
      <c r="X64" s="771"/>
      <c r="Y64" s="925"/>
      <c r="Z64" s="774"/>
      <c r="AA64" s="777" t="s">
        <v>2187</v>
      </c>
      <c r="AB64" s="774"/>
      <c r="AC64" s="774"/>
      <c r="AD64" s="774"/>
    </row>
    <row r="65" spans="1:30" ht="18" customHeight="1">
      <c r="A65" s="773"/>
      <c r="B65" s="825">
        <v>48</v>
      </c>
      <c r="C65" s="771"/>
      <c r="D65" s="893"/>
      <c r="E65" s="771"/>
      <c r="F65" s="771"/>
      <c r="G65" s="771"/>
      <c r="H65" s="817"/>
      <c r="I65" s="929">
        <f t="shared" si="7"/>
        <v>0</v>
      </c>
      <c r="J65" s="929">
        <f t="shared" si="8"/>
        <v>0</v>
      </c>
      <c r="K65" s="929">
        <f t="shared" si="9"/>
        <v>0</v>
      </c>
      <c r="L65" s="772" t="str">
        <f t="shared" si="10"/>
        <v/>
      </c>
      <c r="M65" s="772" t="str">
        <f t="shared" si="11"/>
        <v/>
      </c>
      <c r="N65" s="772" t="str">
        <f t="shared" si="12"/>
        <v/>
      </c>
      <c r="O65" s="883"/>
      <c r="P65" s="883" t="s">
        <v>2100</v>
      </c>
      <c r="Q65" s="883"/>
      <c r="R65" s="883"/>
      <c r="S65" s="883"/>
      <c r="T65" s="771"/>
      <c r="U65" s="771" t="s">
        <v>2188</v>
      </c>
      <c r="V65" s="771"/>
      <c r="W65" s="771"/>
      <c r="X65" s="771"/>
      <c r="Y65" s="925"/>
      <c r="Z65" s="774"/>
      <c r="AA65" s="777"/>
      <c r="AB65" s="774"/>
      <c r="AC65" s="774"/>
      <c r="AD65" s="774"/>
    </row>
    <row r="66" spans="1:30" ht="18" customHeight="1">
      <c r="A66" s="773"/>
      <c r="B66" s="825">
        <v>49</v>
      </c>
      <c r="C66" s="771"/>
      <c r="D66" s="893"/>
      <c r="E66" s="771"/>
      <c r="F66" s="771"/>
      <c r="G66" s="771"/>
      <c r="H66" s="817"/>
      <c r="I66" s="929">
        <f t="shared" si="7"/>
        <v>0</v>
      </c>
      <c r="J66" s="929">
        <f t="shared" si="8"/>
        <v>0</v>
      </c>
      <c r="K66" s="929">
        <f t="shared" si="9"/>
        <v>0</v>
      </c>
      <c r="L66" s="772" t="str">
        <f t="shared" si="10"/>
        <v/>
      </c>
      <c r="M66" s="772" t="str">
        <f t="shared" si="11"/>
        <v/>
      </c>
      <c r="N66" s="772" t="str">
        <f t="shared" si="12"/>
        <v/>
      </c>
      <c r="O66" s="883"/>
      <c r="P66" s="883" t="s">
        <v>2104</v>
      </c>
      <c r="Q66" s="883"/>
      <c r="R66" s="883"/>
      <c r="S66" s="883"/>
      <c r="T66" s="771"/>
      <c r="U66" s="771" t="s">
        <v>2189</v>
      </c>
      <c r="V66" s="771"/>
      <c r="W66" s="771"/>
      <c r="X66" s="771"/>
      <c r="Y66" s="925"/>
      <c r="Z66" s="774"/>
      <c r="AA66" s="777"/>
      <c r="AB66" s="774"/>
      <c r="AC66" s="774"/>
      <c r="AD66" s="774"/>
    </row>
    <row r="67" spans="1:30" ht="27" customHeight="1">
      <c r="A67" s="773"/>
      <c r="B67" s="825">
        <v>50</v>
      </c>
      <c r="C67" s="771"/>
      <c r="D67" s="893"/>
      <c r="E67" s="771"/>
      <c r="F67" s="771"/>
      <c r="G67" s="771"/>
      <c r="H67" s="817"/>
      <c r="I67" s="929">
        <f t="shared" si="7"/>
        <v>0</v>
      </c>
      <c r="J67" s="929">
        <f t="shared" si="8"/>
        <v>0</v>
      </c>
      <c r="K67" s="929">
        <f t="shared" si="9"/>
        <v>0</v>
      </c>
      <c r="L67" s="772" t="str">
        <f t="shared" si="10"/>
        <v/>
      </c>
      <c r="M67" s="772" t="str">
        <f t="shared" si="11"/>
        <v/>
      </c>
      <c r="N67" s="772" t="str">
        <f t="shared" si="12"/>
        <v/>
      </c>
      <c r="O67" s="883"/>
      <c r="P67" s="883" t="s">
        <v>2190</v>
      </c>
      <c r="Q67" s="883"/>
      <c r="R67" s="883"/>
      <c r="S67" s="883"/>
      <c r="T67" s="771"/>
      <c r="U67" s="771" t="s">
        <v>2191</v>
      </c>
      <c r="V67" s="771"/>
      <c r="W67" s="771"/>
      <c r="X67" s="771"/>
      <c r="Y67" s="925"/>
      <c r="Z67" s="774"/>
      <c r="AA67" s="777"/>
      <c r="AB67" s="774"/>
      <c r="AC67" s="774"/>
      <c r="AD67" s="774"/>
    </row>
    <row r="68" spans="1:30" ht="27" customHeight="1">
      <c r="A68" s="773"/>
      <c r="B68" s="825">
        <v>51</v>
      </c>
      <c r="C68" s="771"/>
      <c r="D68" s="893"/>
      <c r="E68" s="771"/>
      <c r="F68" s="771"/>
      <c r="G68" s="771"/>
      <c r="H68" s="817"/>
      <c r="I68" s="929">
        <f t="shared" si="7"/>
        <v>0</v>
      </c>
      <c r="J68" s="929">
        <f t="shared" si="8"/>
        <v>0</v>
      </c>
      <c r="K68" s="929">
        <f t="shared" si="9"/>
        <v>0</v>
      </c>
      <c r="L68" s="772" t="str">
        <f t="shared" si="10"/>
        <v/>
      </c>
      <c r="M68" s="772" t="str">
        <f t="shared" si="11"/>
        <v/>
      </c>
      <c r="N68" s="772" t="str">
        <f t="shared" si="12"/>
        <v/>
      </c>
      <c r="O68" s="883"/>
      <c r="P68" s="883" t="s">
        <v>2192</v>
      </c>
      <c r="Q68" s="883"/>
      <c r="R68" s="883"/>
      <c r="S68" s="883"/>
      <c r="T68" s="771"/>
      <c r="U68" s="771" t="s">
        <v>2193</v>
      </c>
      <c r="V68" s="771"/>
      <c r="W68" s="771"/>
      <c r="X68" s="771"/>
      <c r="Y68" s="925"/>
      <c r="Z68" s="774"/>
      <c r="AA68" s="777"/>
      <c r="AB68" s="774"/>
      <c r="AC68" s="774"/>
      <c r="AD68" s="774"/>
    </row>
    <row r="69" spans="1:30" ht="9" customHeight="1">
      <c r="A69" s="773"/>
      <c r="B69" s="825">
        <v>52</v>
      </c>
      <c r="C69" s="771"/>
      <c r="D69" s="893" t="s">
        <v>2194</v>
      </c>
      <c r="E69" s="771"/>
      <c r="F69" s="771"/>
      <c r="G69" s="771"/>
      <c r="H69" s="817"/>
      <c r="I69" s="929">
        <f t="shared" si="7"/>
        <v>0</v>
      </c>
      <c r="J69" s="929">
        <f t="shared" si="8"/>
        <v>0</v>
      </c>
      <c r="K69" s="929">
        <f t="shared" si="9"/>
        <v>0</v>
      </c>
      <c r="L69" s="772" t="str">
        <f t="shared" si="10"/>
        <v/>
      </c>
      <c r="M69" s="772" t="str">
        <f t="shared" si="11"/>
        <v/>
      </c>
      <c r="N69" s="772" t="str">
        <f t="shared" si="12"/>
        <v/>
      </c>
      <c r="O69" s="883"/>
      <c r="P69" s="883" t="s">
        <v>150</v>
      </c>
      <c r="Q69" s="883"/>
      <c r="R69" s="883"/>
      <c r="S69" s="883"/>
      <c r="T69" s="771"/>
      <c r="U69" s="771" t="s">
        <v>2195</v>
      </c>
      <c r="V69" s="771"/>
      <c r="W69" s="771"/>
      <c r="X69" s="771"/>
      <c r="Y69" s="925"/>
      <c r="Z69" s="774"/>
      <c r="AA69" s="777"/>
      <c r="AB69" s="774"/>
      <c r="AC69" s="774"/>
      <c r="AD69" s="774"/>
    </row>
    <row r="70" spans="1:30" ht="27" customHeight="1">
      <c r="A70" s="773"/>
      <c r="B70" s="825">
        <v>53</v>
      </c>
      <c r="C70" s="771"/>
      <c r="D70" s="893"/>
      <c r="E70" s="771" t="s">
        <v>2179</v>
      </c>
      <c r="F70" s="771"/>
      <c r="G70" s="771"/>
      <c r="H70" s="817"/>
      <c r="I70" s="929">
        <f t="shared" si="7"/>
        <v>0</v>
      </c>
      <c r="J70" s="929">
        <f t="shared" si="8"/>
        <v>0</v>
      </c>
      <c r="K70" s="929">
        <f t="shared" si="9"/>
        <v>0</v>
      </c>
      <c r="L70" s="772" t="str">
        <f t="shared" si="10"/>
        <v/>
      </c>
      <c r="M70" s="772" t="str">
        <f t="shared" si="11"/>
        <v/>
      </c>
      <c r="N70" s="772" t="str">
        <f t="shared" si="12"/>
        <v/>
      </c>
      <c r="O70" s="883"/>
      <c r="P70" s="883"/>
      <c r="Q70" s="883" t="s">
        <v>92</v>
      </c>
      <c r="R70" s="883"/>
      <c r="S70" s="883"/>
      <c r="T70" s="771"/>
      <c r="U70" s="771"/>
      <c r="V70" s="771" t="s">
        <v>2196</v>
      </c>
      <c r="W70" s="771"/>
      <c r="X70" s="771"/>
      <c r="Y70" s="925"/>
      <c r="Z70" s="774"/>
      <c r="AA70" s="777"/>
      <c r="AB70" s="774"/>
      <c r="AC70" s="774"/>
      <c r="AD70" s="774"/>
    </row>
    <row r="71" spans="1:30" ht="36" customHeight="1">
      <c r="A71" s="773"/>
      <c r="B71" s="825">
        <v>54</v>
      </c>
      <c r="C71" s="771"/>
      <c r="D71" s="893"/>
      <c r="E71" s="771" t="s">
        <v>2181</v>
      </c>
      <c r="F71" s="771"/>
      <c r="G71" s="771"/>
      <c r="H71" s="817"/>
      <c r="I71" s="929">
        <f t="shared" si="7"/>
        <v>0</v>
      </c>
      <c r="J71" s="929">
        <f t="shared" si="8"/>
        <v>0</v>
      </c>
      <c r="K71" s="929">
        <f t="shared" si="9"/>
        <v>0</v>
      </c>
      <c r="L71" s="772" t="str">
        <f t="shared" si="10"/>
        <v/>
      </c>
      <c r="M71" s="772" t="str">
        <f t="shared" si="11"/>
        <v/>
      </c>
      <c r="N71" s="772" t="str">
        <f t="shared" si="12"/>
        <v/>
      </c>
      <c r="O71" s="883"/>
      <c r="P71" s="883"/>
      <c r="Q71" s="883" t="s">
        <v>111</v>
      </c>
      <c r="R71" s="883"/>
      <c r="S71" s="883"/>
      <c r="T71" s="771"/>
      <c r="U71" s="771"/>
      <c r="V71" s="771" t="s">
        <v>2197</v>
      </c>
      <c r="W71" s="771"/>
      <c r="X71" s="771"/>
      <c r="Y71" s="925"/>
      <c r="Z71" s="774"/>
      <c r="AA71" s="777"/>
      <c r="AB71" s="774"/>
      <c r="AC71" s="774"/>
      <c r="AD71" s="774"/>
    </row>
    <row r="72" spans="1:30" ht="27" customHeight="1">
      <c r="A72" s="773"/>
      <c r="B72" s="825">
        <v>55</v>
      </c>
      <c r="C72" s="771"/>
      <c r="D72" s="893"/>
      <c r="E72" s="771" t="s">
        <v>2183</v>
      </c>
      <c r="F72" s="771"/>
      <c r="G72" s="771"/>
      <c r="H72" s="817"/>
      <c r="I72" s="929">
        <f t="shared" si="7"/>
        <v>0</v>
      </c>
      <c r="J72" s="929">
        <f t="shared" si="8"/>
        <v>0</v>
      </c>
      <c r="K72" s="929">
        <f t="shared" si="9"/>
        <v>0</v>
      </c>
      <c r="L72" s="772" t="str">
        <f t="shared" si="10"/>
        <v/>
      </c>
      <c r="M72" s="772" t="str">
        <f t="shared" si="11"/>
        <v/>
      </c>
      <c r="N72" s="772" t="str">
        <f t="shared" si="12"/>
        <v/>
      </c>
      <c r="O72" s="883"/>
      <c r="P72" s="883"/>
      <c r="Q72" s="883" t="s">
        <v>148</v>
      </c>
      <c r="R72" s="883"/>
      <c r="S72" s="883"/>
      <c r="T72" s="771"/>
      <c r="U72" s="771"/>
      <c r="V72" s="771" t="s">
        <v>2198</v>
      </c>
      <c r="W72" s="771"/>
      <c r="X72" s="771"/>
      <c r="Y72" s="925"/>
      <c r="Z72" s="774"/>
      <c r="AA72" s="777"/>
      <c r="AB72" s="774"/>
      <c r="AC72" s="774"/>
      <c r="AD72" s="774"/>
    </row>
    <row r="73" spans="1:30" ht="36" customHeight="1">
      <c r="A73" s="773"/>
      <c r="B73" s="825">
        <v>56</v>
      </c>
      <c r="C73" s="771"/>
      <c r="D73" s="893"/>
      <c r="E73" s="771" t="s">
        <v>2185</v>
      </c>
      <c r="F73" s="771"/>
      <c r="G73" s="771"/>
      <c r="H73" s="817"/>
      <c r="I73" s="929">
        <f t="shared" si="7"/>
        <v>0</v>
      </c>
      <c r="J73" s="929">
        <f t="shared" si="8"/>
        <v>0</v>
      </c>
      <c r="K73" s="929">
        <f t="shared" si="9"/>
        <v>0</v>
      </c>
      <c r="L73" s="772" t="str">
        <f t="shared" si="10"/>
        <v/>
      </c>
      <c r="M73" s="772" t="str">
        <f t="shared" si="11"/>
        <v/>
      </c>
      <c r="N73" s="772" t="str">
        <f t="shared" si="12"/>
        <v/>
      </c>
      <c r="O73" s="883"/>
      <c r="P73" s="883"/>
      <c r="Q73" s="883" t="s">
        <v>149</v>
      </c>
      <c r="R73" s="883"/>
      <c r="S73" s="883"/>
      <c r="T73" s="771"/>
      <c r="U73" s="771"/>
      <c r="V73" s="771" t="s">
        <v>2199</v>
      </c>
      <c r="W73" s="771"/>
      <c r="X73" s="771"/>
      <c r="Y73" s="925"/>
      <c r="Z73" s="774"/>
      <c r="AA73" s="777"/>
      <c r="AB73" s="774"/>
      <c r="AC73" s="774"/>
      <c r="AD73" s="774"/>
    </row>
    <row r="74" spans="1:30" ht="18" customHeight="1">
      <c r="A74" s="773"/>
      <c r="B74" s="825">
        <v>57</v>
      </c>
      <c r="C74" s="771"/>
      <c r="D74" s="893"/>
      <c r="E74" s="771" t="s">
        <v>2194</v>
      </c>
      <c r="F74" s="771"/>
      <c r="G74" s="771"/>
      <c r="H74" s="817"/>
      <c r="I74" s="929">
        <f t="shared" si="7"/>
        <v>0</v>
      </c>
      <c r="J74" s="929">
        <f t="shared" si="8"/>
        <v>0</v>
      </c>
      <c r="K74" s="929">
        <f t="shared" si="9"/>
        <v>0</v>
      </c>
      <c r="L74" s="772" t="str">
        <f t="shared" si="10"/>
        <v/>
      </c>
      <c r="M74" s="772" t="str">
        <f t="shared" si="11"/>
        <v/>
      </c>
      <c r="N74" s="772" t="str">
        <f t="shared" si="12"/>
        <v/>
      </c>
      <c r="O74" s="883"/>
      <c r="P74" s="883"/>
      <c r="Q74" s="883" t="s">
        <v>150</v>
      </c>
      <c r="R74" s="883"/>
      <c r="S74" s="883"/>
      <c r="T74" s="771"/>
      <c r="U74" s="771"/>
      <c r="V74" s="771" t="s">
        <v>2200</v>
      </c>
      <c r="W74" s="771"/>
      <c r="X74" s="771"/>
      <c r="Y74" s="925"/>
      <c r="Z74" s="774"/>
      <c r="AA74" s="777"/>
      <c r="AB74" s="774"/>
      <c r="AC74" s="774"/>
      <c r="AD74" s="774"/>
    </row>
    <row r="75" spans="1:30" ht="18" customHeight="1">
      <c r="A75" s="773"/>
      <c r="B75" s="825">
        <v>58</v>
      </c>
      <c r="C75" s="771"/>
      <c r="D75" s="893"/>
      <c r="E75" s="771"/>
      <c r="F75" s="771" t="s">
        <v>2179</v>
      </c>
      <c r="G75" s="771"/>
      <c r="H75" s="817"/>
      <c r="I75" s="929" t="str">
        <f t="shared" si="7"/>
        <v>7</v>
      </c>
      <c r="J75" s="929" t="str">
        <f t="shared" si="8"/>
        <v>Объём сточных вод, принятых от потребителей</v>
      </c>
      <c r="K75" s="929">
        <f t="shared" si="9"/>
        <v>0</v>
      </c>
      <c r="L75" s="772" t="str">
        <f t="shared" si="10"/>
        <v>7</v>
      </c>
      <c r="M75" s="772" t="str">
        <f t="shared" si="11"/>
        <v>Объём сточных вод, принятых от потребителей</v>
      </c>
      <c r="N75" s="772" t="str">
        <f t="shared" si="12"/>
        <v/>
      </c>
      <c r="O75" s="883"/>
      <c r="P75" s="883"/>
      <c r="Q75" s="883"/>
      <c r="R75" s="883" t="s">
        <v>92</v>
      </c>
      <c r="S75" s="883"/>
      <c r="T75" s="771"/>
      <c r="U75" s="771"/>
      <c r="V75" s="771"/>
      <c r="W75" s="771" t="s">
        <v>2201</v>
      </c>
      <c r="X75" s="771"/>
      <c r="Y75" s="925"/>
      <c r="Z75" s="774"/>
      <c r="AA75" s="777"/>
      <c r="AB75" s="774"/>
      <c r="AC75" s="774"/>
      <c r="AD75" s="774"/>
    </row>
    <row r="76" spans="1:30" ht="36" customHeight="1">
      <c r="A76" s="773"/>
      <c r="B76" s="825">
        <v>59</v>
      </c>
      <c r="C76" s="771"/>
      <c r="D76" s="893"/>
      <c r="E76" s="771"/>
      <c r="F76" s="771" t="s">
        <v>2181</v>
      </c>
      <c r="G76" s="771"/>
      <c r="H76" s="817"/>
      <c r="I76" s="929" t="str">
        <f t="shared" si="7"/>
        <v>8</v>
      </c>
      <c r="J76" s="929" t="str">
        <f t="shared" si="8"/>
        <v>Объём сточных вод, принятых от других регулируемых организаций, осуществляющих водоотведение и (или) очистку сточных вод</v>
      </c>
      <c r="K76" s="929">
        <f t="shared" si="9"/>
        <v>0</v>
      </c>
      <c r="L76" s="772" t="str">
        <f t="shared" si="10"/>
        <v>8</v>
      </c>
      <c r="M76" s="772" t="str">
        <f t="shared" si="11"/>
        <v>Объём сточных вод, принятых от других регулируемых организаций, осуществляющих водоотведение и (или) очистку сточных вод</v>
      </c>
      <c r="N76" s="772" t="str">
        <f t="shared" si="12"/>
        <v/>
      </c>
      <c r="O76" s="883"/>
      <c r="P76" s="883"/>
      <c r="Q76" s="883"/>
      <c r="R76" s="883" t="s">
        <v>111</v>
      </c>
      <c r="S76" s="883"/>
      <c r="T76" s="771"/>
      <c r="U76" s="771"/>
      <c r="V76" s="771"/>
      <c r="W76" s="771" t="s">
        <v>2202</v>
      </c>
      <c r="X76" s="771"/>
      <c r="Y76" s="925"/>
      <c r="Z76" s="774"/>
      <c r="AA76" s="777"/>
      <c r="AB76" s="774"/>
      <c r="AC76" s="774"/>
      <c r="AD76" s="774"/>
    </row>
    <row r="77" spans="1:30" ht="18" customHeight="1">
      <c r="A77" s="773"/>
      <c r="B77" s="825">
        <v>60</v>
      </c>
      <c r="C77" s="771"/>
      <c r="D77" s="893"/>
      <c r="E77" s="771"/>
      <c r="F77" s="771" t="s">
        <v>2183</v>
      </c>
      <c r="G77" s="771"/>
      <c r="H77" s="817"/>
      <c r="I77" s="929" t="str">
        <f t="shared" si="7"/>
        <v>9</v>
      </c>
      <c r="J77" s="929" t="str">
        <f t="shared" si="8"/>
        <v>Объём сточных вод, пропущенных через очистные сооружения</v>
      </c>
      <c r="K77" s="929">
        <f t="shared" si="9"/>
        <v>0</v>
      </c>
      <c r="L77" s="772" t="str">
        <f t="shared" si="10"/>
        <v>9</v>
      </c>
      <c r="M77" s="772" t="str">
        <f t="shared" si="11"/>
        <v>Объём сточных вод, пропущенных через очистные сооружения</v>
      </c>
      <c r="N77" s="772" t="str">
        <f t="shared" si="12"/>
        <v/>
      </c>
      <c r="O77" s="883"/>
      <c r="P77" s="883"/>
      <c r="Q77" s="883"/>
      <c r="R77" s="883" t="s">
        <v>148</v>
      </c>
      <c r="S77" s="883"/>
      <c r="T77" s="771"/>
      <c r="U77" s="771"/>
      <c r="V77" s="771"/>
      <c r="W77" s="771" t="s">
        <v>2203</v>
      </c>
      <c r="X77" s="771"/>
      <c r="Y77" s="925"/>
      <c r="Z77" s="774"/>
      <c r="AA77" s="777"/>
      <c r="AB77" s="774"/>
      <c r="AC77" s="774"/>
      <c r="AD77" s="774"/>
    </row>
    <row r="78" spans="1:30" ht="72" customHeight="1">
      <c r="A78" s="773"/>
      <c r="B78" s="825">
        <v>61</v>
      </c>
      <c r="C78" s="771" t="s">
        <v>2179</v>
      </c>
      <c r="D78" s="893"/>
      <c r="E78" s="771"/>
      <c r="F78" s="771"/>
      <c r="G78" s="771"/>
      <c r="H78" s="817"/>
      <c r="I78" s="929">
        <f t="shared" si="7"/>
        <v>0</v>
      </c>
      <c r="J78" s="929">
        <f t="shared" si="8"/>
        <v>0</v>
      </c>
      <c r="K78" s="929">
        <f t="shared" si="9"/>
        <v>0</v>
      </c>
      <c r="L78" s="772" t="str">
        <f t="shared" si="10"/>
        <v/>
      </c>
      <c r="M78" s="772" t="str">
        <f t="shared" si="11"/>
        <v/>
      </c>
      <c r="N78" s="772" t="str">
        <f t="shared" si="12"/>
        <v/>
      </c>
      <c r="O78" s="883" t="s">
        <v>92</v>
      </c>
      <c r="P78" s="883"/>
      <c r="Q78" s="883"/>
      <c r="R78" s="883"/>
      <c r="S78" s="883"/>
      <c r="T78" s="771" t="s">
        <v>635</v>
      </c>
      <c r="U78" s="771"/>
      <c r="V78" s="771"/>
      <c r="W78" s="771"/>
      <c r="X78" s="771"/>
      <c r="Y78" s="925"/>
      <c r="Z78" s="774" t="s">
        <v>2204</v>
      </c>
      <c r="AA78" s="777"/>
      <c r="AB78" s="774"/>
      <c r="AC78" s="774"/>
      <c r="AD78" s="774"/>
    </row>
    <row r="79" spans="1:30" ht="36" customHeight="1">
      <c r="A79" s="773"/>
      <c r="B79" s="825">
        <v>62</v>
      </c>
      <c r="C79" s="771" t="s">
        <v>2181</v>
      </c>
      <c r="D79" s="893"/>
      <c r="E79" s="771"/>
      <c r="F79" s="771"/>
      <c r="G79" s="771"/>
      <c r="H79" s="817"/>
      <c r="I79" s="929">
        <f t="shared" si="7"/>
        <v>0</v>
      </c>
      <c r="J79" s="929">
        <f t="shared" si="8"/>
        <v>0</v>
      </c>
      <c r="K79" s="929">
        <f t="shared" si="9"/>
        <v>0</v>
      </c>
      <c r="L79" s="772" t="str">
        <f t="shared" si="10"/>
        <v/>
      </c>
      <c r="M79" s="772" t="str">
        <f t="shared" si="11"/>
        <v/>
      </c>
      <c r="N79" s="772" t="str">
        <f t="shared" si="12"/>
        <v/>
      </c>
      <c r="O79" s="883" t="s">
        <v>111</v>
      </c>
      <c r="P79" s="883"/>
      <c r="Q79" s="883"/>
      <c r="R79" s="883"/>
      <c r="S79" s="883"/>
      <c r="T79" s="771" t="s">
        <v>2205</v>
      </c>
      <c r="U79" s="771"/>
      <c r="V79" s="771"/>
      <c r="W79" s="771"/>
      <c r="X79" s="771"/>
      <c r="Y79" s="925"/>
      <c r="Z79" s="774" t="s">
        <v>2206</v>
      </c>
      <c r="AA79" s="777"/>
      <c r="AB79" s="774"/>
      <c r="AC79" s="774"/>
      <c r="AD79" s="774"/>
    </row>
    <row r="80" spans="1:30" ht="45" customHeight="1">
      <c r="A80" s="773"/>
      <c r="B80" s="825">
        <v>63</v>
      </c>
      <c r="C80" s="771" t="s">
        <v>2183</v>
      </c>
      <c r="D80" s="893"/>
      <c r="E80" s="771"/>
      <c r="F80" s="771"/>
      <c r="G80" s="771"/>
      <c r="H80" s="817"/>
      <c r="I80" s="929">
        <f t="shared" si="7"/>
        <v>0</v>
      </c>
      <c r="J80" s="929">
        <f t="shared" si="8"/>
        <v>0</v>
      </c>
      <c r="K80" s="929">
        <f t="shared" si="9"/>
        <v>0</v>
      </c>
      <c r="L80" s="772" t="str">
        <f t="shared" si="10"/>
        <v/>
      </c>
      <c r="M80" s="772" t="str">
        <f t="shared" si="11"/>
        <v/>
      </c>
      <c r="N80" s="772" t="str">
        <f t="shared" si="12"/>
        <v/>
      </c>
      <c r="O80" s="883" t="s">
        <v>148</v>
      </c>
      <c r="P80" s="883"/>
      <c r="Q80" s="883"/>
      <c r="R80" s="883"/>
      <c r="S80" s="883"/>
      <c r="T80" s="771" t="s">
        <v>2207</v>
      </c>
      <c r="U80" s="771"/>
      <c r="V80" s="771"/>
      <c r="W80" s="771"/>
      <c r="X80" s="771"/>
      <c r="Y80" s="925"/>
      <c r="Z80" s="774" t="s">
        <v>2208</v>
      </c>
      <c r="AA80" s="777"/>
      <c r="AB80" s="774"/>
      <c r="AC80" s="774"/>
      <c r="AD80" s="774"/>
    </row>
    <row r="81" spans="1:30" ht="36" customHeight="1">
      <c r="A81" s="773"/>
      <c r="B81" s="825">
        <v>64</v>
      </c>
      <c r="C81" s="771" t="s">
        <v>2185</v>
      </c>
      <c r="D81" s="893"/>
      <c r="E81" s="771"/>
      <c r="F81" s="771"/>
      <c r="G81" s="771"/>
      <c r="H81" s="817"/>
      <c r="I81" s="929">
        <f t="shared" si="7"/>
        <v>0</v>
      </c>
      <c r="J81" s="929">
        <f t="shared" si="8"/>
        <v>0</v>
      </c>
      <c r="K81" s="929">
        <f t="shared" si="9"/>
        <v>0</v>
      </c>
      <c r="L81" s="772" t="str">
        <f t="shared" si="10"/>
        <v/>
      </c>
      <c r="M81" s="772" t="str">
        <f t="shared" si="11"/>
        <v/>
      </c>
      <c r="N81" s="772" t="str">
        <f t="shared" si="12"/>
        <v/>
      </c>
      <c r="O81" s="883" t="s">
        <v>2091</v>
      </c>
      <c r="P81" s="883"/>
      <c r="Q81" s="883"/>
      <c r="R81" s="883"/>
      <c r="S81" s="883"/>
      <c r="T81" s="771" t="s">
        <v>2209</v>
      </c>
      <c r="U81" s="771"/>
      <c r="V81" s="771"/>
      <c r="W81" s="771"/>
      <c r="X81" s="771"/>
      <c r="Y81" s="925"/>
      <c r="Z81" s="774" t="s">
        <v>2210</v>
      </c>
      <c r="AA81" s="777"/>
      <c r="AB81" s="774"/>
      <c r="AC81" s="774"/>
      <c r="AD81" s="774"/>
    </row>
    <row r="82" spans="1:30" ht="90" customHeight="1">
      <c r="A82" s="773"/>
      <c r="B82" s="825">
        <v>65</v>
      </c>
      <c r="C82" s="771" t="s">
        <v>2194</v>
      </c>
      <c r="D82" s="893"/>
      <c r="E82" s="771"/>
      <c r="F82" s="771"/>
      <c r="G82" s="771"/>
      <c r="H82" s="817"/>
      <c r="I82" s="929">
        <f t="shared" ref="I82:I101" si="13">INDEX(TEMPLATE_NUMBER_POINT_FHD,B82,MATCH(TEMPLATE_SPHERE,TEMPLATE_SPHERE_LIST_FOR_NOTE,0))</f>
        <v>0</v>
      </c>
      <c r="J82" s="929">
        <f t="shared" ref="J82:J101" si="14">INDEX(TEMPLATE_DATA_POINT_FHD,B82,MATCH(TEMPLATE_SPHERE,TEMPLATE_SPHERE_LIST_FOR_NOTE,0))</f>
        <v>0</v>
      </c>
      <c r="K82" s="929">
        <f t="shared" ref="K82:K101" si="15">INDEX(TEMPLATE_NOTE_POINT_FHD,B82,MATCH(TEMPLATE_SPHERE,TEMPLATE_SPHERE_LIST_FOR_NOTE,0))</f>
        <v>0</v>
      </c>
      <c r="L82" s="772" t="str">
        <f t="shared" ref="L82:L101" si="16">IF(I82=0,"",I82)</f>
        <v/>
      </c>
      <c r="M82" s="772" t="str">
        <f t="shared" ref="M82:M101" si="17">IF(J82=0,"",J82)</f>
        <v/>
      </c>
      <c r="N82" s="772" t="str">
        <f t="shared" ref="N82:N101" si="18">IF(K82=0,"",K82)</f>
        <v/>
      </c>
      <c r="O82" s="883" t="s">
        <v>149</v>
      </c>
      <c r="P82" s="883"/>
      <c r="Q82" s="883"/>
      <c r="R82" s="883"/>
      <c r="S82" s="883"/>
      <c r="T82" s="771" t="s">
        <v>2211</v>
      </c>
      <c r="U82" s="771"/>
      <c r="V82" s="771"/>
      <c r="W82" s="771"/>
      <c r="X82" s="771"/>
      <c r="Y82" s="925"/>
      <c r="Z82" s="774" t="s">
        <v>2212</v>
      </c>
      <c r="AA82" s="777"/>
      <c r="AB82" s="774"/>
      <c r="AC82" s="774"/>
      <c r="AD82" s="774"/>
    </row>
    <row r="83" spans="1:30" ht="9" customHeight="1">
      <c r="A83" s="773"/>
      <c r="B83" s="825">
        <v>66</v>
      </c>
      <c r="C83" s="771"/>
      <c r="D83" s="893"/>
      <c r="E83" s="771"/>
      <c r="F83" s="771"/>
      <c r="G83" s="771"/>
      <c r="H83" s="817"/>
      <c r="I83" s="929">
        <f t="shared" si="13"/>
        <v>0</v>
      </c>
      <c r="J83" s="929">
        <f t="shared" si="14"/>
        <v>0</v>
      </c>
      <c r="K83" s="929">
        <f t="shared" si="15"/>
        <v>0</v>
      </c>
      <c r="L83" s="772" t="str">
        <f t="shared" si="16"/>
        <v/>
      </c>
      <c r="M83" s="772" t="str">
        <f t="shared" si="17"/>
        <v/>
      </c>
      <c r="N83" s="772" t="str">
        <f t="shared" si="18"/>
        <v/>
      </c>
      <c r="O83" s="883" t="s">
        <v>2100</v>
      </c>
      <c r="P83" s="883"/>
      <c r="Q83" s="883"/>
      <c r="R83" s="883"/>
      <c r="S83" s="883"/>
      <c r="T83" s="771" t="s">
        <v>2213</v>
      </c>
      <c r="U83" s="771"/>
      <c r="V83" s="771"/>
      <c r="W83" s="771"/>
      <c r="X83" s="771"/>
      <c r="Y83" s="925"/>
      <c r="Z83" s="774"/>
      <c r="AA83" s="777"/>
      <c r="AB83" s="774"/>
      <c r="AC83" s="774"/>
      <c r="AD83" s="774"/>
    </row>
    <row r="84" spans="1:30" ht="54" customHeight="1">
      <c r="A84" s="773"/>
      <c r="B84" s="825">
        <v>67</v>
      </c>
      <c r="C84" s="771"/>
      <c r="D84" s="893"/>
      <c r="E84" s="771"/>
      <c r="F84" s="771"/>
      <c r="G84" s="771"/>
      <c r="H84" s="817"/>
      <c r="I84" s="929">
        <f t="shared" si="13"/>
        <v>0</v>
      </c>
      <c r="J84" s="929">
        <f t="shared" si="14"/>
        <v>0</v>
      </c>
      <c r="K84" s="929">
        <f t="shared" si="15"/>
        <v>0</v>
      </c>
      <c r="L84" s="772" t="str">
        <f t="shared" si="16"/>
        <v/>
      </c>
      <c r="M84" s="772" t="str">
        <f t="shared" si="17"/>
        <v/>
      </c>
      <c r="N84" s="772" t="str">
        <f t="shared" si="18"/>
        <v/>
      </c>
      <c r="O84" s="883" t="s">
        <v>2214</v>
      </c>
      <c r="P84" s="883"/>
      <c r="Q84" s="883"/>
      <c r="R84" s="883"/>
      <c r="S84" s="883"/>
      <c r="T84" s="771" t="s">
        <v>2215</v>
      </c>
      <c r="U84" s="771"/>
      <c r="V84" s="771"/>
      <c r="W84" s="771"/>
      <c r="X84" s="771"/>
      <c r="Y84" s="925"/>
      <c r="Z84" s="774"/>
      <c r="AA84" s="777"/>
      <c r="AB84" s="774"/>
      <c r="AC84" s="774"/>
      <c r="AD84" s="774"/>
    </row>
    <row r="85" spans="1:30" ht="9" customHeight="1">
      <c r="A85" s="773"/>
      <c r="B85" s="825">
        <v>68</v>
      </c>
      <c r="C85" s="771"/>
      <c r="D85" s="893"/>
      <c r="E85" s="771"/>
      <c r="F85" s="771"/>
      <c r="G85" s="771"/>
      <c r="H85" s="817"/>
      <c r="I85" s="929">
        <f t="shared" si="13"/>
        <v>0</v>
      </c>
      <c r="J85" s="929">
        <f t="shared" si="14"/>
        <v>0</v>
      </c>
      <c r="K85" s="929">
        <f t="shared" si="15"/>
        <v>0</v>
      </c>
      <c r="L85" s="772" t="str">
        <f t="shared" si="16"/>
        <v/>
      </c>
      <c r="M85" s="772" t="str">
        <f t="shared" si="17"/>
        <v/>
      </c>
      <c r="N85" s="772" t="str">
        <f t="shared" si="18"/>
        <v/>
      </c>
      <c r="O85" s="883" t="s">
        <v>2104</v>
      </c>
      <c r="P85" s="883"/>
      <c r="Q85" s="883"/>
      <c r="R85" s="883"/>
      <c r="S85" s="883"/>
      <c r="T85" s="771" t="s">
        <v>2216</v>
      </c>
      <c r="U85" s="771"/>
      <c r="V85" s="771"/>
      <c r="W85" s="771"/>
      <c r="X85" s="771"/>
      <c r="Y85" s="925"/>
      <c r="Z85" s="774"/>
      <c r="AA85" s="777"/>
      <c r="AB85" s="774"/>
      <c r="AC85" s="774"/>
      <c r="AD85" s="774"/>
    </row>
    <row r="86" spans="1:30" ht="27" customHeight="1">
      <c r="A86" s="773"/>
      <c r="B86" s="825">
        <v>69</v>
      </c>
      <c r="C86" s="771"/>
      <c r="D86" s="893"/>
      <c r="E86" s="771"/>
      <c r="F86" s="771"/>
      <c r="G86" s="771"/>
      <c r="H86" s="817"/>
      <c r="I86" s="929">
        <f t="shared" si="13"/>
        <v>0</v>
      </c>
      <c r="J86" s="929">
        <f t="shared" si="14"/>
        <v>0</v>
      </c>
      <c r="K86" s="929">
        <f t="shared" si="15"/>
        <v>0</v>
      </c>
      <c r="L86" s="772" t="str">
        <f t="shared" si="16"/>
        <v/>
      </c>
      <c r="M86" s="772" t="str">
        <f t="shared" si="17"/>
        <v/>
      </c>
      <c r="N86" s="772" t="str">
        <f t="shared" si="18"/>
        <v/>
      </c>
      <c r="O86" s="883" t="s">
        <v>2217</v>
      </c>
      <c r="P86" s="883"/>
      <c r="Q86" s="883"/>
      <c r="R86" s="883"/>
      <c r="S86" s="883"/>
      <c r="T86" s="771" t="s">
        <v>2218</v>
      </c>
      <c r="U86" s="771"/>
      <c r="V86" s="771"/>
      <c r="W86" s="771"/>
      <c r="X86" s="771"/>
      <c r="Y86" s="925"/>
      <c r="Z86" s="774"/>
      <c r="AA86" s="777"/>
      <c r="AB86" s="774"/>
      <c r="AC86" s="774"/>
      <c r="AD86" s="774"/>
    </row>
    <row r="87" spans="1:30" ht="36" customHeight="1">
      <c r="A87" s="773"/>
      <c r="B87" s="825">
        <v>70</v>
      </c>
      <c r="C87" s="771" t="s">
        <v>2219</v>
      </c>
      <c r="D87" s="893"/>
      <c r="E87" s="771"/>
      <c r="F87" s="771"/>
      <c r="G87" s="771"/>
      <c r="H87" s="817"/>
      <c r="I87" s="929">
        <f t="shared" si="13"/>
        <v>0</v>
      </c>
      <c r="J87" s="929">
        <f t="shared" si="14"/>
        <v>0</v>
      </c>
      <c r="K87" s="929">
        <f t="shared" si="15"/>
        <v>0</v>
      </c>
      <c r="L87" s="772" t="str">
        <f t="shared" si="16"/>
        <v/>
      </c>
      <c r="M87" s="772" t="str">
        <f t="shared" si="17"/>
        <v/>
      </c>
      <c r="N87" s="772" t="str">
        <f t="shared" si="18"/>
        <v/>
      </c>
      <c r="O87" s="883" t="s">
        <v>150</v>
      </c>
      <c r="P87" s="883"/>
      <c r="Q87" s="883"/>
      <c r="R87" s="883"/>
      <c r="S87" s="883"/>
      <c r="T87" s="771" t="s">
        <v>2220</v>
      </c>
      <c r="U87" s="771"/>
      <c r="V87" s="771"/>
      <c r="W87" s="771"/>
      <c r="X87" s="771"/>
      <c r="Y87" s="925"/>
      <c r="Z87" s="774"/>
      <c r="AA87" s="777"/>
      <c r="AB87" s="774"/>
      <c r="AC87" s="774"/>
      <c r="AD87" s="774"/>
    </row>
    <row r="88" spans="1:30" ht="18" customHeight="1">
      <c r="A88" s="773"/>
      <c r="B88" s="825">
        <v>71</v>
      </c>
      <c r="C88" s="771" t="s">
        <v>2221</v>
      </c>
      <c r="D88" s="893"/>
      <c r="E88" s="771"/>
      <c r="F88" s="771"/>
      <c r="G88" s="771"/>
      <c r="H88" s="817"/>
      <c r="I88" s="929">
        <f t="shared" si="13"/>
        <v>0</v>
      </c>
      <c r="J88" s="929">
        <f t="shared" si="14"/>
        <v>0</v>
      </c>
      <c r="K88" s="929">
        <f t="shared" si="15"/>
        <v>0</v>
      </c>
      <c r="L88" s="772" t="str">
        <f t="shared" si="16"/>
        <v/>
      </c>
      <c r="M88" s="772" t="str">
        <f t="shared" si="17"/>
        <v/>
      </c>
      <c r="N88" s="772" t="str">
        <f t="shared" si="18"/>
        <v/>
      </c>
      <c r="O88" s="883" t="s">
        <v>151</v>
      </c>
      <c r="P88" s="883"/>
      <c r="Q88" s="883"/>
      <c r="R88" s="883"/>
      <c r="S88" s="883"/>
      <c r="T88" s="771" t="s">
        <v>667</v>
      </c>
      <c r="U88" s="771"/>
      <c r="V88" s="771"/>
      <c r="W88" s="771"/>
      <c r="X88" s="771"/>
      <c r="Y88" s="925"/>
      <c r="Z88" s="774"/>
      <c r="AA88" s="777"/>
      <c r="AB88" s="774"/>
      <c r="AC88" s="774"/>
      <c r="AD88" s="774"/>
    </row>
    <row r="89" spans="1:30" ht="18" customHeight="1">
      <c r="A89" s="773"/>
      <c r="B89" s="825">
        <v>72</v>
      </c>
      <c r="C89" s="771" t="s">
        <v>2222</v>
      </c>
      <c r="D89" s="893" t="s">
        <v>2219</v>
      </c>
      <c r="E89" s="771" t="s">
        <v>2219</v>
      </c>
      <c r="F89" s="771" t="s">
        <v>2185</v>
      </c>
      <c r="G89" s="771"/>
      <c r="H89" s="817"/>
      <c r="I89" s="929" t="str">
        <f t="shared" si="13"/>
        <v>10</v>
      </c>
      <c r="J89" s="929" t="str">
        <f t="shared" si="14"/>
        <v>Среднесписочная численность основного производственного персонала</v>
      </c>
      <c r="K89" s="929">
        <f t="shared" si="15"/>
        <v>0</v>
      </c>
      <c r="L89" s="772" t="str">
        <f t="shared" si="16"/>
        <v>10</v>
      </c>
      <c r="M89" s="772" t="str">
        <f t="shared" si="17"/>
        <v>Среднесписочная численность основного производственного персонала</v>
      </c>
      <c r="N89" s="772" t="str">
        <f t="shared" si="18"/>
        <v/>
      </c>
      <c r="O89" s="883" t="s">
        <v>152</v>
      </c>
      <c r="P89" s="883" t="s">
        <v>151</v>
      </c>
      <c r="Q89" s="883" t="s">
        <v>151</v>
      </c>
      <c r="R89" s="883" t="s">
        <v>149</v>
      </c>
      <c r="S89" s="883"/>
      <c r="T89" s="771" t="s">
        <v>675</v>
      </c>
      <c r="U89" s="771" t="s">
        <v>675</v>
      </c>
      <c r="V89" s="771" t="s">
        <v>675</v>
      </c>
      <c r="W89" s="771" t="s">
        <v>675</v>
      </c>
      <c r="X89" s="771"/>
      <c r="Y89" s="925"/>
      <c r="Z89" s="774"/>
      <c r="AA89" s="777"/>
      <c r="AB89" s="774"/>
      <c r="AC89" s="774"/>
      <c r="AD89" s="774"/>
    </row>
    <row r="90" spans="1:30" ht="27" customHeight="1">
      <c r="A90" s="773"/>
      <c r="B90" s="825">
        <v>73</v>
      </c>
      <c r="C90" s="771" t="s">
        <v>2223</v>
      </c>
      <c r="D90" s="893"/>
      <c r="E90" s="771"/>
      <c r="F90" s="771"/>
      <c r="G90" s="771"/>
      <c r="H90" s="817"/>
      <c r="I90" s="929">
        <f t="shared" si="13"/>
        <v>0</v>
      </c>
      <c r="J90" s="929">
        <f t="shared" si="14"/>
        <v>0</v>
      </c>
      <c r="K90" s="929">
        <f t="shared" si="15"/>
        <v>0</v>
      </c>
      <c r="L90" s="772" t="str">
        <f t="shared" si="16"/>
        <v/>
      </c>
      <c r="M90" s="772" t="str">
        <f t="shared" si="17"/>
        <v/>
      </c>
      <c r="N90" s="772" t="str">
        <f t="shared" si="18"/>
        <v/>
      </c>
      <c r="O90" s="883" t="s">
        <v>153</v>
      </c>
      <c r="P90" s="883"/>
      <c r="Q90" s="883"/>
      <c r="R90" s="883"/>
      <c r="S90" s="883"/>
      <c r="T90" s="771" t="s">
        <v>677</v>
      </c>
      <c r="U90" s="771"/>
      <c r="V90" s="771"/>
      <c r="W90" s="771"/>
      <c r="X90" s="771"/>
      <c r="Y90" s="925"/>
      <c r="Z90" s="774"/>
      <c r="AA90" s="777"/>
      <c r="AB90" s="774"/>
      <c r="AC90" s="774"/>
      <c r="AD90" s="774"/>
    </row>
    <row r="91" spans="1:30" ht="18" customHeight="1">
      <c r="A91" s="773"/>
      <c r="B91" s="825">
        <v>74</v>
      </c>
      <c r="C91" s="771"/>
      <c r="D91" s="893" t="s">
        <v>2221</v>
      </c>
      <c r="E91" s="771" t="s">
        <v>2221</v>
      </c>
      <c r="F91" s="771"/>
      <c r="G91" s="771"/>
      <c r="H91" s="817"/>
      <c r="I91" s="929">
        <f t="shared" si="13"/>
        <v>0</v>
      </c>
      <c r="J91" s="929">
        <f t="shared" si="14"/>
        <v>0</v>
      </c>
      <c r="K91" s="929">
        <f t="shared" si="15"/>
        <v>0</v>
      </c>
      <c r="L91" s="772" t="str">
        <f t="shared" si="16"/>
        <v/>
      </c>
      <c r="M91" s="772" t="str">
        <f t="shared" si="17"/>
        <v/>
      </c>
      <c r="N91" s="772" t="str">
        <f t="shared" si="18"/>
        <v/>
      </c>
      <c r="O91" s="883"/>
      <c r="P91" s="883" t="s">
        <v>152</v>
      </c>
      <c r="Q91" s="883" t="s">
        <v>152</v>
      </c>
      <c r="R91" s="883"/>
      <c r="S91" s="883"/>
      <c r="T91" s="771"/>
      <c r="U91" s="771" t="s">
        <v>2224</v>
      </c>
      <c r="V91" s="771" t="s">
        <v>2224</v>
      </c>
      <c r="W91" s="771"/>
      <c r="X91" s="771"/>
      <c r="Y91" s="925"/>
      <c r="Z91" s="774"/>
      <c r="AA91" s="777"/>
      <c r="AB91" s="774"/>
      <c r="AC91" s="774"/>
      <c r="AD91" s="774"/>
    </row>
    <row r="92" spans="1:30" ht="27" customHeight="1">
      <c r="A92" s="773"/>
      <c r="B92" s="825">
        <v>75</v>
      </c>
      <c r="C92" s="771"/>
      <c r="D92" s="893" t="s">
        <v>2222</v>
      </c>
      <c r="E92" s="771"/>
      <c r="F92" s="771"/>
      <c r="G92" s="771"/>
      <c r="H92" s="817"/>
      <c r="I92" s="929">
        <f t="shared" si="13"/>
        <v>0</v>
      </c>
      <c r="J92" s="929">
        <f t="shared" si="14"/>
        <v>0</v>
      </c>
      <c r="K92" s="929">
        <f t="shared" si="15"/>
        <v>0</v>
      </c>
      <c r="L92" s="772" t="str">
        <f t="shared" si="16"/>
        <v/>
      </c>
      <c r="M92" s="772" t="str">
        <f t="shared" si="17"/>
        <v/>
      </c>
      <c r="N92" s="772" t="str">
        <f t="shared" si="18"/>
        <v/>
      </c>
      <c r="O92" s="883"/>
      <c r="P92" s="883" t="s">
        <v>153</v>
      </c>
      <c r="Q92" s="883"/>
      <c r="R92" s="883"/>
      <c r="S92" s="883"/>
      <c r="T92" s="771"/>
      <c r="U92" s="771" t="s">
        <v>2225</v>
      </c>
      <c r="V92" s="771"/>
      <c r="W92" s="771"/>
      <c r="X92" s="771"/>
      <c r="Y92" s="925"/>
      <c r="Z92" s="774"/>
      <c r="AA92" s="777" t="s">
        <v>2226</v>
      </c>
      <c r="AB92" s="774"/>
      <c r="AC92" s="774"/>
      <c r="AD92" s="774"/>
    </row>
    <row r="93" spans="1:30" ht="27" customHeight="1">
      <c r="A93" s="773"/>
      <c r="B93" s="825">
        <v>76</v>
      </c>
      <c r="C93" s="771"/>
      <c r="D93" s="893"/>
      <c r="E93" s="771"/>
      <c r="F93" s="771"/>
      <c r="G93" s="771"/>
      <c r="H93" s="817"/>
      <c r="I93" s="929">
        <f t="shared" si="13"/>
        <v>0</v>
      </c>
      <c r="J93" s="929">
        <f t="shared" si="14"/>
        <v>0</v>
      </c>
      <c r="K93" s="929">
        <f t="shared" si="15"/>
        <v>0</v>
      </c>
      <c r="L93" s="772" t="str">
        <f t="shared" si="16"/>
        <v/>
      </c>
      <c r="M93" s="772" t="str">
        <f t="shared" si="17"/>
        <v/>
      </c>
      <c r="N93" s="772" t="str">
        <f t="shared" si="18"/>
        <v/>
      </c>
      <c r="O93" s="883"/>
      <c r="P93" s="883" t="s">
        <v>2132</v>
      </c>
      <c r="Q93" s="883"/>
      <c r="R93" s="883"/>
      <c r="S93" s="883"/>
      <c r="T93" s="771"/>
      <c r="U93" s="771" t="s">
        <v>2227</v>
      </c>
      <c r="V93" s="771"/>
      <c r="W93" s="771"/>
      <c r="X93" s="771"/>
      <c r="Y93" s="925"/>
      <c r="Z93" s="774"/>
      <c r="AA93" s="777" t="s">
        <v>2228</v>
      </c>
      <c r="AB93" s="774"/>
      <c r="AC93" s="774"/>
      <c r="AD93" s="774"/>
    </row>
    <row r="94" spans="1:30" ht="45" customHeight="1">
      <c r="A94" s="773"/>
      <c r="B94" s="825">
        <v>77</v>
      </c>
      <c r="C94" s="771"/>
      <c r="D94" s="893" t="s">
        <v>2223</v>
      </c>
      <c r="E94" s="771"/>
      <c r="F94" s="771"/>
      <c r="G94" s="771"/>
      <c r="H94" s="817"/>
      <c r="I94" s="929">
        <f t="shared" si="13"/>
        <v>0</v>
      </c>
      <c r="J94" s="929">
        <f t="shared" si="14"/>
        <v>0</v>
      </c>
      <c r="K94" s="929">
        <f t="shared" si="15"/>
        <v>0</v>
      </c>
      <c r="L94" s="772" t="str">
        <f t="shared" si="16"/>
        <v/>
      </c>
      <c r="M94" s="772" t="str">
        <f t="shared" si="17"/>
        <v/>
      </c>
      <c r="N94" s="772" t="str">
        <f t="shared" si="18"/>
        <v/>
      </c>
      <c r="O94" s="883"/>
      <c r="P94" s="883" t="s">
        <v>1492</v>
      </c>
      <c r="Q94" s="883"/>
      <c r="R94" s="883"/>
      <c r="S94" s="883"/>
      <c r="T94" s="771"/>
      <c r="U94" s="771" t="s">
        <v>2229</v>
      </c>
      <c r="V94" s="771"/>
      <c r="W94" s="771"/>
      <c r="X94" s="771"/>
      <c r="Y94" s="925"/>
      <c r="Z94" s="774"/>
      <c r="AA94" s="777" t="s">
        <v>2230</v>
      </c>
      <c r="AB94" s="774"/>
      <c r="AC94" s="774"/>
      <c r="AD94" s="774"/>
    </row>
    <row r="95" spans="1:30" ht="99" customHeight="1">
      <c r="A95" s="773"/>
      <c r="B95" s="825">
        <v>78</v>
      </c>
      <c r="C95" s="771" t="s">
        <v>2231</v>
      </c>
      <c r="D95" s="893"/>
      <c r="E95" s="771"/>
      <c r="F95" s="771"/>
      <c r="G95" s="771"/>
      <c r="H95" s="817"/>
      <c r="I95" s="929">
        <f t="shared" si="13"/>
        <v>0</v>
      </c>
      <c r="J95" s="929">
        <f t="shared" si="14"/>
        <v>0</v>
      </c>
      <c r="K95" s="929">
        <f t="shared" si="15"/>
        <v>0</v>
      </c>
      <c r="L95" s="772" t="str">
        <f t="shared" si="16"/>
        <v/>
      </c>
      <c r="M95" s="772" t="str">
        <f t="shared" si="17"/>
        <v/>
      </c>
      <c r="N95" s="772" t="str">
        <f t="shared" si="18"/>
        <v/>
      </c>
      <c r="O95" s="883" t="s">
        <v>1492</v>
      </c>
      <c r="P95" s="883"/>
      <c r="Q95" s="883"/>
      <c r="R95" s="883"/>
      <c r="S95" s="883"/>
      <c r="T95" s="771" t="s">
        <v>2232</v>
      </c>
      <c r="U95" s="771"/>
      <c r="V95" s="771"/>
      <c r="W95" s="771"/>
      <c r="X95" s="771"/>
      <c r="Y95" s="925"/>
      <c r="Z95" s="774"/>
      <c r="AA95" s="777"/>
      <c r="AB95" s="774"/>
      <c r="AC95" s="774"/>
      <c r="AD95" s="774"/>
    </row>
    <row r="96" spans="1:30" ht="99" customHeight="1">
      <c r="A96" s="773"/>
      <c r="B96" s="825">
        <v>79</v>
      </c>
      <c r="C96" s="771" t="s">
        <v>1185</v>
      </c>
      <c r="D96" s="893"/>
      <c r="E96" s="771"/>
      <c r="F96" s="771"/>
      <c r="G96" s="771"/>
      <c r="H96" s="817"/>
      <c r="I96" s="929">
        <f t="shared" si="13"/>
        <v>0</v>
      </c>
      <c r="J96" s="929">
        <f t="shared" si="14"/>
        <v>0</v>
      </c>
      <c r="K96" s="929">
        <f t="shared" si="15"/>
        <v>0</v>
      </c>
      <c r="L96" s="772" t="str">
        <f t="shared" si="16"/>
        <v/>
      </c>
      <c r="M96" s="772" t="str">
        <f t="shared" si="17"/>
        <v/>
      </c>
      <c r="N96" s="772" t="str">
        <f t="shared" si="18"/>
        <v/>
      </c>
      <c r="O96" s="883" t="s">
        <v>1498</v>
      </c>
      <c r="P96" s="883"/>
      <c r="Q96" s="883"/>
      <c r="R96" s="883"/>
      <c r="S96" s="883"/>
      <c r="T96" s="771" t="s">
        <v>2233</v>
      </c>
      <c r="U96" s="771"/>
      <c r="V96" s="771"/>
      <c r="W96" s="771"/>
      <c r="X96" s="771"/>
      <c r="Y96" s="925"/>
      <c r="Z96" s="774" t="s">
        <v>2234</v>
      </c>
      <c r="AA96" s="777"/>
      <c r="AB96" s="774"/>
      <c r="AC96" s="774"/>
      <c r="AD96" s="774"/>
    </row>
    <row r="97" spans="1:30" ht="63" customHeight="1">
      <c r="A97" s="773"/>
      <c r="B97" s="825">
        <v>80</v>
      </c>
      <c r="C97" s="771" t="s">
        <v>2235</v>
      </c>
      <c r="D97" s="893"/>
      <c r="E97" s="771"/>
      <c r="F97" s="771"/>
      <c r="G97" s="771"/>
      <c r="H97" s="817"/>
      <c r="I97" s="929">
        <f t="shared" si="13"/>
        <v>0</v>
      </c>
      <c r="J97" s="929">
        <f t="shared" si="14"/>
        <v>0</v>
      </c>
      <c r="K97" s="929">
        <f t="shared" si="15"/>
        <v>0</v>
      </c>
      <c r="L97" s="772" t="str">
        <f t="shared" si="16"/>
        <v/>
      </c>
      <c r="M97" s="772" t="str">
        <f t="shared" si="17"/>
        <v/>
      </c>
      <c r="N97" s="772" t="str">
        <f t="shared" si="18"/>
        <v/>
      </c>
      <c r="O97" s="883" t="s">
        <v>1510</v>
      </c>
      <c r="P97" s="883"/>
      <c r="Q97" s="883"/>
      <c r="R97" s="883"/>
      <c r="S97" s="883"/>
      <c r="T97" s="771" t="s">
        <v>2236</v>
      </c>
      <c r="U97" s="771"/>
      <c r="V97" s="771"/>
      <c r="W97" s="771"/>
      <c r="X97" s="771"/>
      <c r="Y97" s="925"/>
      <c r="Z97" s="774" t="s">
        <v>2237</v>
      </c>
      <c r="AA97" s="777"/>
      <c r="AB97" s="774"/>
      <c r="AC97" s="774"/>
      <c r="AD97" s="774"/>
    </row>
    <row r="98" spans="1:30" ht="63" customHeight="1">
      <c r="A98" s="773"/>
      <c r="B98" s="825">
        <v>81</v>
      </c>
      <c r="C98" s="771" t="s">
        <v>2238</v>
      </c>
      <c r="D98" s="893"/>
      <c r="E98" s="771"/>
      <c r="F98" s="771"/>
      <c r="G98" s="771"/>
      <c r="H98" s="817"/>
      <c r="I98" s="929">
        <f t="shared" si="13"/>
        <v>0</v>
      </c>
      <c r="J98" s="929">
        <f t="shared" si="14"/>
        <v>0</v>
      </c>
      <c r="K98" s="929">
        <f t="shared" si="15"/>
        <v>0</v>
      </c>
      <c r="L98" s="772" t="str">
        <f t="shared" si="16"/>
        <v/>
      </c>
      <c r="M98" s="772" t="str">
        <f t="shared" si="17"/>
        <v/>
      </c>
      <c r="N98" s="772" t="str">
        <f t="shared" si="18"/>
        <v/>
      </c>
      <c r="O98" s="883" t="s">
        <v>1524</v>
      </c>
      <c r="P98" s="883"/>
      <c r="Q98" s="883"/>
      <c r="R98" s="883"/>
      <c r="S98" s="883"/>
      <c r="T98" s="771" t="s">
        <v>2239</v>
      </c>
      <c r="U98" s="771"/>
      <c r="V98" s="771"/>
      <c r="W98" s="771"/>
      <c r="X98" s="771"/>
      <c r="Y98" s="925"/>
      <c r="Z98" s="774" t="s">
        <v>2237</v>
      </c>
      <c r="AA98" s="777"/>
      <c r="AB98" s="774"/>
      <c r="AC98" s="774"/>
      <c r="AD98" s="774"/>
    </row>
    <row r="99" spans="1:30" ht="90" customHeight="1">
      <c r="A99" s="773"/>
      <c r="B99" s="825">
        <v>82</v>
      </c>
      <c r="C99" s="771" t="s">
        <v>2240</v>
      </c>
      <c r="D99" s="893"/>
      <c r="E99" s="771"/>
      <c r="F99" s="771"/>
      <c r="G99" s="771"/>
      <c r="H99" s="817"/>
      <c r="I99" s="929">
        <f t="shared" si="13"/>
        <v>0</v>
      </c>
      <c r="J99" s="929">
        <f t="shared" si="14"/>
        <v>0</v>
      </c>
      <c r="K99" s="929">
        <f t="shared" si="15"/>
        <v>0</v>
      </c>
      <c r="L99" s="772" t="str">
        <f t="shared" si="16"/>
        <v/>
      </c>
      <c r="M99" s="772" t="str">
        <f t="shared" si="17"/>
        <v/>
      </c>
      <c r="N99" s="772" t="str">
        <f t="shared" si="18"/>
        <v/>
      </c>
      <c r="O99" s="883" t="s">
        <v>1536</v>
      </c>
      <c r="P99" s="883"/>
      <c r="Q99" s="883"/>
      <c r="R99" s="883"/>
      <c r="S99" s="883"/>
      <c r="T99" s="771" t="s">
        <v>2241</v>
      </c>
      <c r="U99" s="771"/>
      <c r="V99" s="771"/>
      <c r="W99" s="771"/>
      <c r="X99" s="771"/>
      <c r="Y99" s="925"/>
      <c r="Z99" s="774" t="s">
        <v>632</v>
      </c>
      <c r="AA99" s="777"/>
      <c r="AB99" s="774"/>
      <c r="AC99" s="774"/>
      <c r="AD99" s="774"/>
    </row>
    <row r="100" spans="1:30" ht="27" customHeight="1">
      <c r="A100" s="773"/>
      <c r="B100" s="825">
        <v>83</v>
      </c>
      <c r="C100" s="771"/>
      <c r="D100" s="893"/>
      <c r="E100" s="771"/>
      <c r="F100" s="771"/>
      <c r="G100" s="771"/>
      <c r="H100" s="817"/>
      <c r="I100" s="929">
        <f t="shared" si="13"/>
        <v>0</v>
      </c>
      <c r="J100" s="929">
        <f t="shared" si="14"/>
        <v>0</v>
      </c>
      <c r="K100" s="929">
        <f t="shared" si="15"/>
        <v>0</v>
      </c>
      <c r="L100" s="772" t="str">
        <f t="shared" si="16"/>
        <v/>
      </c>
      <c r="M100" s="772" t="str">
        <f t="shared" si="17"/>
        <v/>
      </c>
      <c r="N100" s="772" t="str">
        <f t="shared" si="18"/>
        <v/>
      </c>
      <c r="O100" s="883" t="s">
        <v>2242</v>
      </c>
      <c r="P100" s="883"/>
      <c r="Q100" s="883"/>
      <c r="R100" s="883"/>
      <c r="S100" s="883"/>
      <c r="T100" s="771" t="s">
        <v>2243</v>
      </c>
      <c r="U100" s="771"/>
      <c r="V100" s="771"/>
      <c r="W100" s="771"/>
      <c r="X100" s="771"/>
      <c r="Y100" s="925"/>
      <c r="Z100" s="774" t="s">
        <v>632</v>
      </c>
      <c r="AA100" s="777"/>
      <c r="AB100" s="774"/>
      <c r="AC100" s="774"/>
      <c r="AD100" s="774"/>
    </row>
    <row r="101" spans="1:30" ht="27" customHeight="1">
      <c r="A101" s="773"/>
      <c r="B101" s="825">
        <v>84</v>
      </c>
      <c r="C101" s="771"/>
      <c r="D101" s="893"/>
      <c r="E101" s="771"/>
      <c r="F101" s="771"/>
      <c r="G101" s="771"/>
      <c r="H101" s="817"/>
      <c r="I101" s="929">
        <f t="shared" si="13"/>
        <v>0</v>
      </c>
      <c r="J101" s="929">
        <f t="shared" si="14"/>
        <v>0</v>
      </c>
      <c r="K101" s="929">
        <f t="shared" si="15"/>
        <v>0</v>
      </c>
      <c r="L101" s="772" t="str">
        <f t="shared" si="16"/>
        <v/>
      </c>
      <c r="M101" s="772" t="str">
        <f t="shared" si="17"/>
        <v/>
      </c>
      <c r="N101" s="772" t="str">
        <f t="shared" si="18"/>
        <v/>
      </c>
      <c r="O101" s="883" t="s">
        <v>2244</v>
      </c>
      <c r="P101" s="883"/>
      <c r="Q101" s="883"/>
      <c r="R101" s="883"/>
      <c r="S101" s="883"/>
      <c r="T101" s="771" t="s">
        <v>2245</v>
      </c>
      <c r="U101" s="771"/>
      <c r="V101" s="771"/>
      <c r="W101" s="771"/>
      <c r="X101" s="771"/>
      <c r="Y101" s="925"/>
      <c r="Z101" s="774" t="s">
        <v>632</v>
      </c>
      <c r="AA101" s="777"/>
      <c r="AB101" s="774"/>
      <c r="AC101" s="774"/>
      <c r="AD101" s="774"/>
    </row>
    <row r="102" spans="1:30" ht="9" customHeight="1">
      <c r="A102" s="773"/>
      <c r="B102" s="773"/>
      <c r="C102" s="771"/>
      <c r="D102" s="771"/>
      <c r="E102" s="771"/>
      <c r="F102" s="771"/>
      <c r="G102" s="771"/>
      <c r="H102" s="817"/>
      <c r="I102" s="817"/>
      <c r="J102" s="817"/>
      <c r="K102" s="817"/>
      <c r="L102" s="817"/>
      <c r="M102" s="771"/>
      <c r="N102" s="816"/>
      <c r="O102" s="883"/>
      <c r="P102" s="883"/>
      <c r="Q102" s="883"/>
      <c r="R102" s="883"/>
      <c r="S102" s="771"/>
      <c r="T102" s="771"/>
      <c r="U102" s="771"/>
      <c r="V102" s="771"/>
      <c r="W102" s="771"/>
      <c r="X102" s="771"/>
      <c r="Y102" s="925"/>
      <c r="Z102" s="774"/>
      <c r="AA102" s="777"/>
      <c r="AB102" s="774"/>
      <c r="AC102" s="774"/>
      <c r="AD102" s="774"/>
    </row>
    <row r="103" spans="1:30" ht="9" customHeight="1">
      <c r="A103" s="773"/>
      <c r="B103" s="773"/>
      <c r="C103" s="771"/>
      <c r="D103" s="771"/>
      <c r="E103" s="771"/>
      <c r="F103" s="771"/>
      <c r="G103" s="771"/>
      <c r="H103" s="817"/>
      <c r="I103" s="817"/>
      <c r="J103" s="817"/>
      <c r="K103" s="817"/>
      <c r="L103" s="817"/>
      <c r="M103" s="771"/>
      <c r="N103" s="816"/>
      <c r="O103" s="883"/>
      <c r="P103" s="883"/>
      <c r="Q103" s="883"/>
      <c r="R103" s="883"/>
      <c r="S103" s="771"/>
      <c r="T103" s="771"/>
      <c r="U103" s="771"/>
      <c r="V103" s="771"/>
      <c r="W103" s="771"/>
      <c r="X103" s="771"/>
      <c r="Y103" s="925"/>
      <c r="Z103" s="774"/>
      <c r="AA103" s="777"/>
      <c r="AB103" s="774"/>
      <c r="AC103" s="774"/>
      <c r="AD103" s="774"/>
    </row>
    <row r="104" spans="1:30" ht="9" customHeight="1">
      <c r="A104" s="773"/>
      <c r="B104" s="773"/>
      <c r="C104" s="771"/>
      <c r="D104" s="771"/>
      <c r="E104" s="771"/>
      <c r="F104" s="771"/>
      <c r="G104" s="771"/>
      <c r="H104" s="817"/>
      <c r="I104" s="817"/>
      <c r="J104" s="817"/>
      <c r="K104" s="817"/>
      <c r="L104" s="817"/>
      <c r="M104" s="771"/>
      <c r="N104" s="816"/>
      <c r="O104" s="883"/>
      <c r="P104" s="883"/>
      <c r="Q104" s="883"/>
      <c r="R104" s="883"/>
      <c r="S104" s="771"/>
      <c r="T104" s="771"/>
      <c r="U104" s="771"/>
      <c r="V104" s="771"/>
      <c r="W104" s="771"/>
      <c r="X104" s="771"/>
      <c r="Y104" s="925"/>
      <c r="Z104" s="774"/>
      <c r="AA104" s="777"/>
      <c r="AB104" s="774"/>
      <c r="AC104" s="774"/>
      <c r="AD104" s="774"/>
    </row>
    <row r="105" spans="1:30" ht="9" customHeight="1">
      <c r="A105" s="773"/>
      <c r="B105" s="773"/>
      <c r="C105" s="771"/>
      <c r="D105" s="771"/>
      <c r="E105" s="771"/>
      <c r="F105" s="771"/>
      <c r="G105" s="771"/>
      <c r="H105" s="817"/>
      <c r="I105" s="817"/>
      <c r="J105" s="817"/>
      <c r="K105" s="817"/>
      <c r="L105" s="817"/>
      <c r="M105" s="771"/>
      <c r="N105" s="816"/>
      <c r="O105" s="883"/>
      <c r="P105" s="883"/>
      <c r="Q105" s="883"/>
      <c r="R105" s="883"/>
      <c r="S105" s="771"/>
      <c r="T105" s="771"/>
      <c r="U105" s="771"/>
      <c r="V105" s="771"/>
      <c r="W105" s="771"/>
      <c r="X105" s="771"/>
      <c r="Y105" s="925"/>
      <c r="Z105" s="774"/>
      <c r="AA105" s="777"/>
      <c r="AB105" s="774"/>
      <c r="AC105" s="774"/>
      <c r="AD105" s="774"/>
    </row>
    <row r="106" spans="1:30" ht="9" customHeight="1">
      <c r="A106" s="773"/>
      <c r="B106" s="773"/>
      <c r="C106" s="771"/>
      <c r="D106" s="771"/>
      <c r="E106" s="771"/>
      <c r="F106" s="771"/>
      <c r="G106" s="771"/>
      <c r="H106" s="817"/>
      <c r="I106" s="817"/>
      <c r="J106" s="817"/>
      <c r="K106" s="817"/>
      <c r="L106" s="817"/>
      <c r="M106" s="771"/>
      <c r="N106" s="816"/>
      <c r="O106" s="883"/>
      <c r="P106" s="883"/>
      <c r="Q106" s="883"/>
      <c r="R106" s="883"/>
      <c r="S106" s="771"/>
      <c r="T106" s="771"/>
      <c r="U106" s="771"/>
      <c r="V106" s="771"/>
      <c r="W106" s="771"/>
      <c r="X106" s="771"/>
      <c r="Y106" s="925"/>
      <c r="Z106" s="774"/>
      <c r="AA106" s="777"/>
      <c r="AB106" s="774"/>
      <c r="AC106" s="774"/>
      <c r="AD106" s="774"/>
    </row>
    <row r="107" spans="1:30" ht="9" customHeight="1">
      <c r="A107" s="773"/>
      <c r="B107" s="773"/>
      <c r="C107" s="771"/>
      <c r="D107" s="771"/>
      <c r="E107" s="771"/>
      <c r="F107" s="771"/>
      <c r="G107" s="771"/>
      <c r="H107" s="817"/>
      <c r="I107" s="817"/>
      <c r="J107" s="817"/>
      <c r="K107" s="817"/>
      <c r="L107" s="817"/>
      <c r="M107" s="771"/>
      <c r="N107" s="816"/>
      <c r="O107" s="883"/>
      <c r="P107" s="883"/>
      <c r="Q107" s="883"/>
      <c r="R107" s="883"/>
      <c r="S107" s="771"/>
      <c r="T107" s="771"/>
      <c r="U107" s="771"/>
      <c r="V107" s="771"/>
      <c r="W107" s="771"/>
      <c r="X107" s="771"/>
      <c r="Y107" s="925"/>
      <c r="Z107" s="774"/>
      <c r="AA107" s="777"/>
      <c r="AB107" s="774"/>
      <c r="AC107" s="774"/>
      <c r="AD107" s="774"/>
    </row>
    <row r="108" spans="1:30" ht="9" customHeight="1">
      <c r="A108" s="773"/>
      <c r="B108" s="773"/>
      <c r="C108" s="771"/>
      <c r="D108" s="771"/>
      <c r="E108" s="771"/>
      <c r="F108" s="771"/>
      <c r="G108" s="771"/>
      <c r="H108" s="817"/>
      <c r="I108" s="817"/>
      <c r="J108" s="817"/>
      <c r="K108" s="817"/>
      <c r="L108" s="817"/>
      <c r="M108" s="771"/>
      <c r="N108" s="816"/>
      <c r="O108" s="883"/>
      <c r="P108" s="883"/>
      <c r="Q108" s="883"/>
      <c r="R108" s="883"/>
      <c r="S108" s="771"/>
      <c r="T108" s="771"/>
      <c r="U108" s="771"/>
      <c r="V108" s="771"/>
      <c r="W108" s="771"/>
      <c r="X108" s="771"/>
      <c r="Y108" s="925"/>
      <c r="Z108" s="774"/>
      <c r="AA108" s="777"/>
      <c r="AB108" s="774"/>
      <c r="AC108" s="774"/>
      <c r="AD108" s="774"/>
    </row>
    <row r="109" spans="1:30" ht="9" customHeight="1">
      <c r="A109" s="773"/>
      <c r="B109" s="773"/>
      <c r="C109" s="771"/>
      <c r="D109" s="771"/>
      <c r="E109" s="771"/>
      <c r="F109" s="771"/>
      <c r="G109" s="771"/>
      <c r="H109" s="817"/>
      <c r="I109" s="817"/>
      <c r="J109" s="817"/>
      <c r="K109" s="817"/>
      <c r="L109" s="817"/>
      <c r="M109" s="771"/>
      <c r="N109" s="816"/>
      <c r="O109" s="883"/>
      <c r="P109" s="883"/>
      <c r="Q109" s="883"/>
      <c r="R109" s="883"/>
      <c r="S109" s="771"/>
      <c r="T109" s="771"/>
      <c r="U109" s="771"/>
      <c r="V109" s="771"/>
      <c r="W109" s="771"/>
      <c r="X109" s="771"/>
      <c r="Y109" s="925"/>
      <c r="Z109" s="774"/>
      <c r="AA109" s="777"/>
      <c r="AB109" s="774"/>
      <c r="AC109" s="774"/>
      <c r="AD109" s="774"/>
    </row>
    <row r="110" spans="1:30" ht="9" customHeight="1">
      <c r="A110" s="773"/>
      <c r="B110" s="773"/>
      <c r="C110" s="771"/>
      <c r="D110" s="771"/>
      <c r="E110" s="771"/>
      <c r="F110" s="771"/>
      <c r="G110" s="771"/>
      <c r="H110" s="817"/>
      <c r="I110" s="817"/>
      <c r="J110" s="817"/>
      <c r="K110" s="817"/>
      <c r="L110" s="817"/>
      <c r="M110" s="771"/>
      <c r="N110" s="816"/>
      <c r="O110" s="883"/>
      <c r="P110" s="883"/>
      <c r="Q110" s="883"/>
      <c r="R110" s="883"/>
      <c r="S110" s="771"/>
      <c r="T110" s="771"/>
      <c r="U110" s="771"/>
      <c r="V110" s="771"/>
      <c r="W110" s="771"/>
      <c r="X110" s="771"/>
      <c r="Y110" s="925"/>
      <c r="Z110" s="774"/>
      <c r="AA110" s="777"/>
      <c r="AB110" s="774"/>
      <c r="AC110" s="774"/>
      <c r="AD110" s="774"/>
    </row>
    <row r="111" spans="1:30" ht="9" customHeight="1">
      <c r="A111" s="773"/>
      <c r="B111" s="773"/>
      <c r="C111" s="771"/>
      <c r="D111" s="771"/>
      <c r="E111" s="771"/>
      <c r="F111" s="771"/>
      <c r="G111" s="771"/>
      <c r="H111" s="817"/>
      <c r="I111" s="817"/>
      <c r="J111" s="817"/>
      <c r="K111" s="817"/>
      <c r="L111" s="817"/>
      <c r="M111" s="771"/>
      <c r="N111" s="816"/>
      <c r="O111" s="883"/>
      <c r="P111" s="883"/>
      <c r="Q111" s="883"/>
      <c r="R111" s="883"/>
      <c r="S111" s="771"/>
      <c r="T111" s="771"/>
      <c r="U111" s="771"/>
      <c r="V111" s="771"/>
      <c r="W111" s="771"/>
      <c r="X111" s="771"/>
      <c r="Y111" s="925"/>
      <c r="Z111" s="774"/>
      <c r="AA111" s="777"/>
      <c r="AB111" s="774"/>
      <c r="AC111" s="774"/>
      <c r="AD111" s="774"/>
    </row>
    <row r="112" spans="1:30" ht="9" customHeight="1">
      <c r="A112" s="773"/>
      <c r="B112" s="773"/>
      <c r="C112" s="771"/>
      <c r="D112" s="771"/>
      <c r="E112" s="771"/>
      <c r="F112" s="771"/>
      <c r="G112" s="771"/>
      <c r="H112" s="817"/>
      <c r="I112" s="817"/>
      <c r="J112" s="817"/>
      <c r="K112" s="817"/>
      <c r="L112" s="817"/>
      <c r="M112" s="771"/>
      <c r="N112" s="816"/>
      <c r="O112" s="883"/>
      <c r="P112" s="883"/>
      <c r="Q112" s="883"/>
      <c r="R112" s="883"/>
      <c r="S112" s="771"/>
      <c r="T112" s="771"/>
      <c r="U112" s="771"/>
      <c r="V112" s="771"/>
      <c r="W112" s="771"/>
      <c r="X112" s="771"/>
      <c r="Y112" s="925"/>
      <c r="Z112" s="774"/>
      <c r="AA112" s="777"/>
      <c r="AB112" s="774"/>
      <c r="AC112" s="774"/>
      <c r="AD112" s="774"/>
    </row>
    <row r="113" spans="1:30" ht="9" customHeight="1">
      <c r="A113" s="773"/>
      <c r="B113" s="773"/>
      <c r="C113" s="771"/>
      <c r="D113" s="771"/>
      <c r="E113" s="771"/>
      <c r="F113" s="771"/>
      <c r="G113" s="771"/>
      <c r="H113" s="817"/>
      <c r="I113" s="817"/>
      <c r="J113" s="817"/>
      <c r="K113" s="817"/>
      <c r="L113" s="817"/>
      <c r="M113" s="771"/>
      <c r="N113" s="816"/>
      <c r="O113" s="883"/>
      <c r="P113" s="883"/>
      <c r="Q113" s="883"/>
      <c r="R113" s="883"/>
      <c r="S113" s="771"/>
      <c r="T113" s="771"/>
      <c r="U113" s="771"/>
      <c r="V113" s="771"/>
      <c r="W113" s="771"/>
      <c r="X113" s="771"/>
      <c r="Y113" s="925"/>
      <c r="Z113" s="774"/>
      <c r="AA113" s="777"/>
      <c r="AB113" s="774"/>
      <c r="AC113" s="774"/>
      <c r="AD113" s="774"/>
    </row>
    <row r="114" spans="1:30" ht="9" customHeight="1">
      <c r="A114" s="773"/>
      <c r="B114" s="773"/>
      <c r="C114" s="771"/>
      <c r="D114" s="771"/>
      <c r="E114" s="771"/>
      <c r="F114" s="771"/>
      <c r="G114" s="771"/>
      <c r="H114" s="817"/>
      <c r="I114" s="817"/>
      <c r="J114" s="817"/>
      <c r="K114" s="817"/>
      <c r="L114" s="817"/>
      <c r="M114" s="771"/>
      <c r="N114" s="816"/>
      <c r="O114" s="883"/>
      <c r="P114" s="883"/>
      <c r="Q114" s="883"/>
      <c r="R114" s="883"/>
      <c r="S114" s="771"/>
      <c r="T114" s="771"/>
      <c r="U114" s="771"/>
      <c r="V114" s="771"/>
      <c r="W114" s="771"/>
      <c r="X114" s="771"/>
      <c r="Y114" s="925"/>
      <c r="Z114" s="774"/>
      <c r="AA114" s="777"/>
      <c r="AB114" s="774"/>
      <c r="AC114" s="774"/>
      <c r="AD114" s="774"/>
    </row>
    <row r="115" spans="1:30" ht="9" customHeight="1">
      <c r="A115" s="773"/>
      <c r="B115" s="773"/>
      <c r="C115" s="771"/>
      <c r="D115" s="771"/>
      <c r="E115" s="771"/>
      <c r="F115" s="771"/>
      <c r="G115" s="771"/>
      <c r="H115" s="817"/>
      <c r="I115" s="817"/>
      <c r="J115" s="817"/>
      <c r="K115" s="817"/>
      <c r="L115" s="817"/>
      <c r="M115" s="771"/>
      <c r="N115" s="816"/>
      <c r="O115" s="883"/>
      <c r="P115" s="883"/>
      <c r="Q115" s="883"/>
      <c r="R115" s="883"/>
      <c r="S115" s="771"/>
      <c r="T115" s="771"/>
      <c r="U115" s="771"/>
      <c r="V115" s="771"/>
      <c r="W115" s="771"/>
      <c r="X115" s="771"/>
      <c r="Y115" s="925"/>
      <c r="Z115" s="774"/>
      <c r="AA115" s="777"/>
      <c r="AB115" s="774"/>
      <c r="AC115" s="774"/>
      <c r="AD115" s="774"/>
    </row>
    <row r="116" spans="1:30" ht="9" customHeight="1">
      <c r="A116" s="773"/>
      <c r="B116" s="773"/>
      <c r="C116" s="771"/>
      <c r="D116" s="771"/>
      <c r="E116" s="771"/>
      <c r="F116" s="771"/>
      <c r="G116" s="771"/>
      <c r="H116" s="817"/>
      <c r="I116" s="817"/>
      <c r="J116" s="817"/>
      <c r="K116" s="817"/>
      <c r="L116" s="817"/>
      <c r="M116" s="771"/>
      <c r="N116" s="816"/>
      <c r="O116" s="883"/>
      <c r="P116" s="883"/>
      <c r="Q116" s="883"/>
      <c r="R116" s="883"/>
      <c r="S116" s="771"/>
      <c r="T116" s="771"/>
      <c r="U116" s="771"/>
      <c r="V116" s="771"/>
      <c r="W116" s="771"/>
      <c r="X116" s="771"/>
      <c r="Y116" s="925"/>
      <c r="Z116" s="774"/>
      <c r="AA116" s="777"/>
      <c r="AB116" s="774"/>
      <c r="AC116" s="774"/>
      <c r="AD116" s="774"/>
    </row>
    <row r="117" spans="1:30" ht="9" customHeight="1">
      <c r="A117" s="773"/>
      <c r="B117" s="773"/>
      <c r="C117" s="771"/>
      <c r="D117" s="771"/>
      <c r="E117" s="771"/>
      <c r="F117" s="771"/>
      <c r="G117" s="771"/>
      <c r="H117" s="817"/>
      <c r="I117" s="817"/>
      <c r="J117" s="817"/>
      <c r="K117" s="817"/>
      <c r="L117" s="817"/>
      <c r="M117" s="771"/>
      <c r="N117" s="816"/>
      <c r="O117" s="883"/>
      <c r="P117" s="883"/>
      <c r="Q117" s="883"/>
      <c r="R117" s="883"/>
      <c r="S117" s="771"/>
      <c r="T117" s="771"/>
      <c r="U117" s="771"/>
      <c r="V117" s="771"/>
      <c r="W117" s="771"/>
      <c r="X117" s="771"/>
      <c r="Y117" s="925"/>
      <c r="Z117" s="774"/>
      <c r="AA117" s="777"/>
      <c r="AB117" s="774"/>
      <c r="AC117" s="774"/>
      <c r="AD117" s="774"/>
    </row>
    <row r="118" spans="1:30" ht="9" customHeight="1">
      <c r="A118" s="773"/>
      <c r="B118" s="773"/>
      <c r="C118" s="771"/>
      <c r="D118" s="771"/>
      <c r="E118" s="771"/>
      <c r="F118" s="771"/>
      <c r="G118" s="771"/>
      <c r="H118" s="817"/>
      <c r="I118" s="817"/>
      <c r="J118" s="817"/>
      <c r="K118" s="817"/>
      <c r="L118" s="817"/>
      <c r="M118" s="771"/>
      <c r="N118" s="816"/>
      <c r="O118" s="883"/>
      <c r="P118" s="883"/>
      <c r="Q118" s="883"/>
      <c r="R118" s="883"/>
      <c r="S118" s="771"/>
      <c r="T118" s="771"/>
      <c r="U118" s="771"/>
      <c r="V118" s="771"/>
      <c r="W118" s="771"/>
      <c r="X118" s="771"/>
      <c r="Y118" s="925"/>
      <c r="Z118" s="774"/>
      <c r="AA118" s="777"/>
      <c r="AB118" s="774"/>
      <c r="AC118" s="774"/>
      <c r="AD118" s="774"/>
    </row>
    <row r="119" spans="1:30" ht="9" customHeight="1">
      <c r="A119" s="773"/>
      <c r="B119" s="773"/>
      <c r="C119" s="771"/>
      <c r="D119" s="771"/>
      <c r="E119" s="771"/>
      <c r="F119" s="771"/>
      <c r="G119" s="771"/>
      <c r="H119" s="817"/>
      <c r="I119" s="817"/>
      <c r="J119" s="817"/>
      <c r="K119" s="817"/>
      <c r="L119" s="817"/>
      <c r="M119" s="771"/>
      <c r="N119" s="816"/>
      <c r="O119" s="883"/>
      <c r="P119" s="883"/>
      <c r="Q119" s="883"/>
      <c r="R119" s="883"/>
      <c r="S119" s="771"/>
      <c r="T119" s="771"/>
      <c r="U119" s="771"/>
      <c r="V119" s="771"/>
      <c r="W119" s="771"/>
      <c r="X119" s="771"/>
      <c r="Y119" s="925"/>
      <c r="Z119" s="774"/>
      <c r="AA119" s="777"/>
      <c r="AB119" s="774"/>
      <c r="AC119" s="774"/>
      <c r="AD119" s="774"/>
    </row>
    <row r="120" spans="1:30" ht="9" customHeight="1">
      <c r="A120" s="773"/>
      <c r="B120" s="773"/>
      <c r="C120" s="771"/>
      <c r="D120" s="771"/>
      <c r="E120" s="771"/>
      <c r="F120" s="771"/>
      <c r="G120" s="771"/>
      <c r="H120" s="817"/>
      <c r="I120" s="817"/>
      <c r="J120" s="817"/>
      <c r="K120" s="817"/>
      <c r="L120" s="817"/>
      <c r="M120" s="771"/>
      <c r="N120" s="816"/>
      <c r="O120" s="883"/>
      <c r="P120" s="883"/>
      <c r="Q120" s="883"/>
      <c r="R120" s="883"/>
      <c r="S120" s="771"/>
      <c r="T120" s="771"/>
      <c r="U120" s="771"/>
      <c r="V120" s="771"/>
      <c r="W120" s="771"/>
      <c r="X120" s="771"/>
      <c r="Y120" s="925"/>
      <c r="Z120" s="774"/>
      <c r="AA120" s="777"/>
      <c r="AB120" s="774"/>
      <c r="AC120" s="774"/>
      <c r="AD120" s="774"/>
    </row>
    <row r="121" spans="1:30" ht="9" customHeight="1">
      <c r="A121" s="773"/>
      <c r="B121" s="773"/>
      <c r="C121" s="771"/>
      <c r="D121" s="771"/>
      <c r="E121" s="771"/>
      <c r="F121" s="771"/>
      <c r="G121" s="771"/>
      <c r="H121" s="817"/>
      <c r="I121" s="817"/>
      <c r="J121" s="817"/>
      <c r="K121" s="817"/>
      <c r="L121" s="817"/>
      <c r="M121" s="771"/>
      <c r="N121" s="816"/>
      <c r="O121" s="883"/>
      <c r="P121" s="883"/>
      <c r="Q121" s="883"/>
      <c r="R121" s="883"/>
      <c r="S121" s="771"/>
      <c r="T121" s="771"/>
      <c r="U121" s="771"/>
      <c r="V121" s="771"/>
      <c r="W121" s="771"/>
      <c r="X121" s="771"/>
      <c r="Y121" s="925"/>
      <c r="Z121" s="774"/>
      <c r="AA121" s="777"/>
      <c r="AB121" s="774"/>
      <c r="AC121" s="774"/>
      <c r="AD121" s="774"/>
    </row>
    <row r="122" spans="1:30" ht="9" customHeight="1">
      <c r="A122" s="773"/>
      <c r="B122" s="773"/>
      <c r="C122" s="771"/>
      <c r="D122" s="771"/>
      <c r="E122" s="771"/>
      <c r="F122" s="771"/>
      <c r="G122" s="771"/>
      <c r="H122" s="817"/>
      <c r="I122" s="817"/>
      <c r="J122" s="817"/>
      <c r="K122" s="817"/>
      <c r="L122" s="817"/>
      <c r="M122" s="771"/>
      <c r="N122" s="816"/>
      <c r="O122" s="883"/>
      <c r="P122" s="883"/>
      <c r="Q122" s="883"/>
      <c r="R122" s="883"/>
      <c r="S122" s="771"/>
      <c r="T122" s="771"/>
      <c r="U122" s="771"/>
      <c r="V122" s="771"/>
      <c r="W122" s="771"/>
      <c r="X122" s="771"/>
      <c r="Y122" s="925"/>
      <c r="Z122" s="774"/>
      <c r="AA122" s="777"/>
      <c r="AB122" s="774"/>
      <c r="AC122" s="774"/>
      <c r="AD122" s="774"/>
    </row>
    <row r="123" spans="1:30" ht="9" customHeight="1">
      <c r="A123" s="773"/>
      <c r="B123" s="773"/>
      <c r="C123" s="771"/>
      <c r="D123" s="771"/>
      <c r="E123" s="771"/>
      <c r="F123" s="771"/>
      <c r="G123" s="771"/>
      <c r="H123" s="817"/>
      <c r="I123" s="817"/>
      <c r="J123" s="817"/>
      <c r="K123" s="817"/>
      <c r="L123" s="817"/>
      <c r="M123" s="771"/>
      <c r="N123" s="816"/>
      <c r="O123" s="883"/>
      <c r="P123" s="883"/>
      <c r="Q123" s="883"/>
      <c r="R123" s="883"/>
      <c r="S123" s="771"/>
      <c r="T123" s="771"/>
      <c r="U123" s="771"/>
      <c r="V123" s="771"/>
      <c r="W123" s="771"/>
      <c r="X123" s="771"/>
      <c r="Y123" s="925"/>
      <c r="Z123" s="774"/>
      <c r="AA123" s="777"/>
      <c r="AB123" s="774"/>
      <c r="AC123" s="774"/>
      <c r="AD123" s="774"/>
    </row>
    <row r="124" spans="1:30" ht="9" customHeight="1">
      <c r="A124" s="773"/>
      <c r="B124" s="773"/>
      <c r="C124" s="771"/>
      <c r="D124" s="771"/>
      <c r="E124" s="771"/>
      <c r="F124" s="771"/>
      <c r="G124" s="771"/>
      <c r="H124" s="817"/>
      <c r="I124" s="817"/>
      <c r="J124" s="817"/>
      <c r="K124" s="817"/>
      <c r="L124" s="817"/>
      <c r="M124" s="771"/>
      <c r="N124" s="816"/>
      <c r="O124" s="883"/>
      <c r="P124" s="883"/>
      <c r="Q124" s="883"/>
      <c r="R124" s="883"/>
      <c r="S124" s="771"/>
      <c r="T124" s="771"/>
      <c r="U124" s="771"/>
      <c r="V124" s="771"/>
      <c r="W124" s="771"/>
      <c r="X124" s="771"/>
      <c r="Y124" s="925"/>
      <c r="Z124" s="774"/>
      <c r="AA124" s="777"/>
      <c r="AB124" s="774"/>
      <c r="AC124" s="774"/>
      <c r="AD124" s="774"/>
    </row>
    <row r="125" spans="1:30" ht="9" customHeight="1">
      <c r="A125" s="773"/>
      <c r="B125" s="773"/>
      <c r="C125" s="771"/>
      <c r="D125" s="771"/>
      <c r="E125" s="771"/>
      <c r="F125" s="771"/>
      <c r="G125" s="771"/>
      <c r="H125" s="817"/>
      <c r="I125" s="817"/>
      <c r="J125" s="817"/>
      <c r="K125" s="817"/>
      <c r="L125" s="817"/>
      <c r="M125" s="771"/>
      <c r="N125" s="816"/>
      <c r="O125" s="883"/>
      <c r="P125" s="883"/>
      <c r="Q125" s="883"/>
      <c r="R125" s="883"/>
      <c r="S125" s="771"/>
      <c r="T125" s="771"/>
      <c r="U125" s="771"/>
      <c r="V125" s="771"/>
      <c r="W125" s="771"/>
      <c r="X125" s="771"/>
      <c r="Y125" s="925"/>
      <c r="Z125" s="774"/>
      <c r="AA125" s="777"/>
      <c r="AB125" s="774"/>
      <c r="AC125" s="774"/>
      <c r="AD125" s="774"/>
    </row>
    <row r="126" spans="1:30" ht="9" customHeight="1">
      <c r="A126" s="773"/>
      <c r="B126" s="773"/>
      <c r="C126" s="771"/>
      <c r="D126" s="771"/>
      <c r="E126" s="771"/>
      <c r="F126" s="771"/>
      <c r="G126" s="771"/>
      <c r="H126" s="817"/>
      <c r="I126" s="817"/>
      <c r="J126" s="817"/>
      <c r="K126" s="817"/>
      <c r="L126" s="817"/>
      <c r="M126" s="771"/>
      <c r="N126" s="816"/>
      <c r="O126" s="883"/>
      <c r="P126" s="883"/>
      <c r="Q126" s="883"/>
      <c r="R126" s="883"/>
      <c r="S126" s="771"/>
      <c r="T126" s="771"/>
      <c r="U126" s="771"/>
      <c r="V126" s="771"/>
      <c r="W126" s="771"/>
      <c r="X126" s="771"/>
      <c r="Y126" s="925"/>
      <c r="Z126" s="774"/>
      <c r="AA126" s="777"/>
      <c r="AB126" s="774"/>
      <c r="AC126" s="774"/>
      <c r="AD126" s="774"/>
    </row>
    <row r="127" spans="1:30" ht="9" customHeight="1">
      <c r="A127" s="773"/>
      <c r="B127" s="773"/>
      <c r="C127" s="771"/>
      <c r="D127" s="771"/>
      <c r="E127" s="771"/>
      <c r="F127" s="771"/>
      <c r="G127" s="771"/>
      <c r="H127" s="817"/>
      <c r="I127" s="817"/>
      <c r="J127" s="817"/>
      <c r="K127" s="817"/>
      <c r="L127" s="817"/>
      <c r="M127" s="771"/>
      <c r="N127" s="816"/>
      <c r="O127" s="883"/>
      <c r="P127" s="883"/>
      <c r="Q127" s="883"/>
      <c r="R127" s="883"/>
      <c r="S127" s="771"/>
      <c r="T127" s="771"/>
      <c r="U127" s="771"/>
      <c r="V127" s="771"/>
      <c r="W127" s="771"/>
      <c r="X127" s="771"/>
      <c r="Y127" s="925"/>
      <c r="Z127" s="774"/>
      <c r="AA127" s="777"/>
      <c r="AB127" s="774"/>
      <c r="AC127" s="774"/>
      <c r="AD127" s="774"/>
    </row>
    <row r="128" spans="1:30" ht="9" customHeight="1">
      <c r="A128" s="773"/>
      <c r="B128" s="773"/>
      <c r="C128" s="771"/>
      <c r="D128" s="771"/>
      <c r="E128" s="771"/>
      <c r="F128" s="771"/>
      <c r="G128" s="771"/>
      <c r="H128" s="817"/>
      <c r="I128" s="817"/>
      <c r="J128" s="817"/>
      <c r="K128" s="817"/>
      <c r="L128" s="817"/>
      <c r="M128" s="771"/>
      <c r="N128" s="816"/>
      <c r="O128" s="883"/>
      <c r="P128" s="883"/>
      <c r="Q128" s="883"/>
      <c r="R128" s="883"/>
      <c r="S128" s="771"/>
      <c r="T128" s="771"/>
      <c r="U128" s="771"/>
      <c r="V128" s="771"/>
      <c r="W128" s="771"/>
      <c r="X128" s="771"/>
      <c r="Y128" s="925"/>
      <c r="Z128" s="774"/>
      <c r="AA128" s="777"/>
      <c r="AB128" s="774"/>
      <c r="AC128" s="774"/>
      <c r="AD128" s="774"/>
    </row>
    <row r="129" spans="1:30" ht="9" customHeight="1">
      <c r="A129" s="773"/>
      <c r="B129" s="773"/>
      <c r="C129" s="771"/>
      <c r="D129" s="771"/>
      <c r="E129" s="771"/>
      <c r="F129" s="771"/>
      <c r="G129" s="771"/>
      <c r="H129" s="817"/>
      <c r="I129" s="817"/>
      <c r="J129" s="817"/>
      <c r="K129" s="817"/>
      <c r="L129" s="817"/>
      <c r="M129" s="771"/>
      <c r="N129" s="816"/>
      <c r="O129" s="883"/>
      <c r="P129" s="883"/>
      <c r="Q129" s="883"/>
      <c r="R129" s="883"/>
      <c r="S129" s="771"/>
      <c r="T129" s="771"/>
      <c r="U129" s="771"/>
      <c r="V129" s="771"/>
      <c r="W129" s="771"/>
      <c r="X129" s="771"/>
      <c r="Y129" s="925"/>
      <c r="Z129" s="774"/>
      <c r="AA129" s="777"/>
      <c r="AB129" s="774"/>
      <c r="AC129" s="774"/>
      <c r="AD129" s="774"/>
    </row>
    <row r="130" spans="1:30" ht="9" customHeight="1">
      <c r="A130" s="773"/>
      <c r="B130" s="773"/>
      <c r="C130" s="771"/>
      <c r="D130" s="771"/>
      <c r="E130" s="771"/>
      <c r="F130" s="771"/>
      <c r="G130" s="771"/>
      <c r="H130" s="817"/>
      <c r="I130" s="817"/>
      <c r="J130" s="817"/>
      <c r="K130" s="817"/>
      <c r="L130" s="817"/>
      <c r="M130" s="771"/>
      <c r="N130" s="816"/>
      <c r="O130" s="885"/>
      <c r="P130" s="885"/>
      <c r="Q130" s="885"/>
      <c r="R130" s="885"/>
      <c r="S130" s="771"/>
      <c r="T130" s="771"/>
      <c r="U130" s="771"/>
      <c r="V130" s="771"/>
      <c r="W130" s="771"/>
      <c r="X130" s="771"/>
      <c r="Y130" s="925"/>
      <c r="Z130" s="774"/>
      <c r="AA130" s="777"/>
      <c r="AB130" s="774"/>
      <c r="AC130" s="774"/>
      <c r="AD130" s="774"/>
    </row>
    <row r="131" spans="1:30" ht="9" customHeight="1">
      <c r="A131" s="773"/>
      <c r="B131" s="773"/>
      <c r="C131" s="771"/>
      <c r="D131" s="771"/>
      <c r="E131" s="771"/>
      <c r="F131" s="771"/>
      <c r="G131" s="771"/>
      <c r="H131" s="817"/>
      <c r="I131" s="817"/>
      <c r="J131" s="817"/>
      <c r="K131" s="817"/>
      <c r="L131" s="817"/>
      <c r="M131" s="771"/>
      <c r="N131" s="816"/>
      <c r="O131" s="886"/>
      <c r="P131" s="886"/>
      <c r="Q131" s="886"/>
      <c r="R131" s="886"/>
      <c r="S131" s="771"/>
      <c r="T131" s="771"/>
      <c r="U131" s="771"/>
      <c r="V131" s="771"/>
      <c r="W131" s="771"/>
      <c r="X131" s="771"/>
      <c r="Y131" s="925"/>
      <c r="Z131" s="774"/>
      <c r="AA131" s="777"/>
      <c r="AB131" s="774"/>
      <c r="AC131" s="774"/>
      <c r="AD131" s="774"/>
    </row>
    <row r="132" spans="1:30" ht="9" customHeight="1">
      <c r="A132" s="773"/>
      <c r="B132" s="773"/>
      <c r="C132" s="771"/>
      <c r="D132" s="771"/>
      <c r="E132" s="771"/>
      <c r="F132" s="771"/>
      <c r="G132" s="771"/>
      <c r="H132" s="817"/>
      <c r="I132" s="817"/>
      <c r="J132" s="817"/>
      <c r="K132" s="817"/>
      <c r="L132" s="817"/>
      <c r="M132" s="771"/>
      <c r="N132" s="816"/>
      <c r="O132" s="885"/>
      <c r="P132" s="885"/>
      <c r="Q132" s="885"/>
      <c r="R132" s="885"/>
      <c r="S132" s="771"/>
      <c r="T132" s="771"/>
      <c r="U132" s="771"/>
      <c r="V132" s="771"/>
      <c r="W132" s="771"/>
      <c r="X132" s="771"/>
      <c r="Y132" s="925"/>
      <c r="Z132" s="774"/>
      <c r="AA132" s="777"/>
      <c r="AB132" s="774"/>
      <c r="AC132" s="774"/>
      <c r="AD132" s="774"/>
    </row>
    <row r="133" spans="1:30" ht="9" customHeight="1">
      <c r="A133" s="773"/>
      <c r="B133" s="773"/>
      <c r="C133" s="771"/>
      <c r="D133" s="771"/>
      <c r="E133" s="771"/>
      <c r="F133" s="771"/>
      <c r="G133" s="771"/>
      <c r="H133" s="817"/>
      <c r="I133" s="817"/>
      <c r="J133" s="817"/>
      <c r="K133" s="817"/>
      <c r="L133" s="817"/>
      <c r="M133" s="771"/>
      <c r="N133" s="816"/>
      <c r="O133" s="886"/>
      <c r="P133" s="886"/>
      <c r="Q133" s="886"/>
      <c r="R133" s="886"/>
      <c r="S133" s="771"/>
      <c r="T133" s="771"/>
      <c r="U133" s="771"/>
      <c r="V133" s="771"/>
      <c r="W133" s="771"/>
      <c r="X133" s="771"/>
      <c r="Y133" s="925"/>
      <c r="Z133" s="774"/>
      <c r="AA133" s="777"/>
      <c r="AB133" s="774"/>
      <c r="AC133" s="774"/>
      <c r="AD133" s="774"/>
    </row>
    <row r="134" spans="1:30" ht="9" customHeight="1">
      <c r="A134" s="773"/>
      <c r="B134" s="773"/>
      <c r="C134" s="771"/>
      <c r="D134" s="771"/>
      <c r="E134" s="771"/>
      <c r="F134" s="771"/>
      <c r="G134" s="771"/>
      <c r="H134" s="817"/>
      <c r="I134" s="817"/>
      <c r="J134" s="817"/>
      <c r="K134" s="817"/>
      <c r="L134" s="817"/>
      <c r="M134" s="771"/>
      <c r="N134" s="816"/>
      <c r="O134" s="883"/>
      <c r="P134" s="883"/>
      <c r="Q134" s="883"/>
      <c r="R134" s="883"/>
      <c r="S134" s="771"/>
      <c r="T134" s="771"/>
      <c r="U134" s="771"/>
      <c r="V134" s="771"/>
      <c r="W134" s="771"/>
      <c r="X134" s="771"/>
      <c r="Y134" s="925"/>
      <c r="Z134" s="774"/>
      <c r="AA134" s="777"/>
      <c r="AB134" s="774"/>
      <c r="AC134" s="774"/>
      <c r="AD134" s="774"/>
    </row>
    <row r="135" spans="1:30" ht="9" customHeight="1">
      <c r="A135" s="773"/>
      <c r="B135" s="773"/>
      <c r="C135" s="771"/>
      <c r="D135" s="771"/>
      <c r="E135" s="771"/>
      <c r="F135" s="771"/>
      <c r="G135" s="771"/>
      <c r="H135" s="817"/>
      <c r="I135" s="817"/>
      <c r="J135" s="817"/>
      <c r="K135" s="817"/>
      <c r="L135" s="817"/>
      <c r="M135" s="771"/>
      <c r="N135" s="816"/>
      <c r="O135" s="883"/>
      <c r="P135" s="883"/>
      <c r="Q135" s="883"/>
      <c r="R135" s="883"/>
      <c r="S135" s="771"/>
      <c r="T135" s="771"/>
      <c r="U135" s="771"/>
      <c r="V135" s="771"/>
      <c r="W135" s="771"/>
      <c r="X135" s="771"/>
      <c r="Y135" s="925"/>
      <c r="Z135" s="774"/>
      <c r="AA135" s="777"/>
      <c r="AB135" s="774"/>
      <c r="AC135" s="774"/>
      <c r="AD135" s="774"/>
    </row>
    <row r="136" spans="1:30" ht="9" customHeight="1">
      <c r="A136" s="773"/>
      <c r="B136" s="773"/>
      <c r="C136" s="771"/>
      <c r="D136" s="771"/>
      <c r="E136" s="771"/>
      <c r="F136" s="771"/>
      <c r="G136" s="771"/>
      <c r="H136" s="817"/>
      <c r="I136" s="817"/>
      <c r="J136" s="817"/>
      <c r="K136" s="817"/>
      <c r="L136" s="817"/>
      <c r="M136" s="771"/>
      <c r="N136" s="816"/>
      <c r="O136" s="883"/>
      <c r="P136" s="883"/>
      <c r="Q136" s="883"/>
      <c r="R136" s="883"/>
      <c r="S136" s="771"/>
      <c r="T136" s="771"/>
      <c r="U136" s="771"/>
      <c r="V136" s="771"/>
      <c r="W136" s="771"/>
      <c r="X136" s="771"/>
      <c r="Y136" s="925"/>
      <c r="Z136" s="774"/>
      <c r="AA136" s="777"/>
      <c r="AB136" s="774"/>
      <c r="AC136" s="774"/>
      <c r="AD136" s="774"/>
    </row>
    <row r="137" spans="1:30" ht="9" customHeight="1">
      <c r="A137" s="773"/>
      <c r="B137" s="773"/>
      <c r="C137" s="771"/>
      <c r="D137" s="771"/>
      <c r="E137" s="771"/>
      <c r="F137" s="771"/>
      <c r="G137" s="771"/>
      <c r="H137" s="817"/>
      <c r="I137" s="817"/>
      <c r="J137" s="817"/>
      <c r="K137" s="817"/>
      <c r="L137" s="817"/>
      <c r="M137" s="771"/>
      <c r="N137" s="816"/>
      <c r="O137" s="887"/>
      <c r="P137" s="887"/>
      <c r="Q137" s="887"/>
      <c r="R137" s="887"/>
      <c r="S137" s="771"/>
      <c r="T137" s="771"/>
      <c r="U137" s="771"/>
      <c r="V137" s="771"/>
      <c r="W137" s="771"/>
      <c r="X137" s="771"/>
      <c r="Y137" s="925"/>
      <c r="Z137" s="774"/>
      <c r="AA137" s="777"/>
      <c r="AB137" s="774"/>
      <c r="AC137" s="774"/>
      <c r="AD137" s="774"/>
    </row>
    <row r="138" spans="1:30" ht="9" customHeight="1">
      <c r="A138" s="773"/>
      <c r="B138" s="773"/>
      <c r="C138" s="771"/>
      <c r="D138" s="771"/>
      <c r="E138" s="771"/>
      <c r="F138" s="771"/>
      <c r="G138" s="771"/>
      <c r="H138" s="817"/>
      <c r="I138" s="817"/>
      <c r="J138" s="817"/>
      <c r="K138" s="817"/>
      <c r="L138" s="817"/>
      <c r="M138" s="771"/>
      <c r="N138" s="816"/>
      <c r="O138" s="884"/>
      <c r="P138" s="884"/>
      <c r="Q138" s="884"/>
      <c r="R138" s="884"/>
      <c r="S138" s="771"/>
      <c r="T138" s="771"/>
      <c r="U138" s="771"/>
      <c r="V138" s="771"/>
      <c r="W138" s="771"/>
      <c r="X138" s="771"/>
      <c r="Y138" s="925"/>
      <c r="Z138" s="774"/>
      <c r="AA138" s="777"/>
      <c r="AB138" s="774"/>
      <c r="AC138" s="774"/>
      <c r="AD138" s="774"/>
    </row>
    <row r="139" spans="1:30" ht="9" customHeight="1">
      <c r="A139" s="773"/>
      <c r="B139" s="773"/>
      <c r="C139" s="771"/>
      <c r="D139" s="771"/>
      <c r="E139" s="771"/>
      <c r="F139" s="771"/>
      <c r="G139" s="771"/>
      <c r="H139" s="817"/>
      <c r="I139" s="817"/>
      <c r="J139" s="817"/>
      <c r="K139" s="817"/>
      <c r="L139" s="817"/>
      <c r="M139" s="771"/>
      <c r="N139" s="816"/>
      <c r="O139" s="771"/>
      <c r="P139" s="771"/>
      <c r="Q139" s="771"/>
      <c r="R139" s="771"/>
      <c r="S139" s="771"/>
      <c r="T139" s="771"/>
      <c r="U139" s="771"/>
      <c r="V139" s="771"/>
      <c r="W139" s="771"/>
      <c r="X139" s="771"/>
      <c r="Y139" s="925"/>
      <c r="Z139" s="774"/>
      <c r="AA139" s="777"/>
      <c r="AB139" s="774"/>
      <c r="AC139" s="774"/>
      <c r="AD139" s="774"/>
    </row>
    <row r="140" spans="1:30" ht="9" customHeight="1">
      <c r="A140" s="773"/>
      <c r="B140" s="773"/>
      <c r="C140" s="771"/>
      <c r="D140" s="771"/>
      <c r="E140" s="771"/>
      <c r="F140" s="771"/>
      <c r="G140" s="771"/>
      <c r="H140" s="817"/>
      <c r="I140" s="817"/>
      <c r="J140" s="817"/>
      <c r="K140" s="817"/>
      <c r="L140" s="817"/>
      <c r="M140" s="771"/>
      <c r="N140" s="816"/>
      <c r="O140" s="771"/>
      <c r="P140" s="771"/>
      <c r="Q140" s="771"/>
      <c r="R140" s="771"/>
      <c r="S140" s="771"/>
      <c r="T140" s="771"/>
      <c r="U140" s="771"/>
      <c r="V140" s="771"/>
      <c r="W140" s="771"/>
      <c r="X140" s="771"/>
      <c r="Y140" s="925"/>
      <c r="Z140" s="774"/>
      <c r="AA140" s="777"/>
      <c r="AB140" s="774"/>
      <c r="AC140" s="774"/>
      <c r="AD140" s="774"/>
    </row>
    <row r="141" spans="1:30" ht="9" customHeight="1">
      <c r="A141" s="773"/>
      <c r="B141" s="773"/>
      <c r="C141" s="771"/>
      <c r="D141" s="771"/>
      <c r="E141" s="771"/>
      <c r="F141" s="771"/>
      <c r="G141" s="771"/>
      <c r="H141" s="817"/>
      <c r="I141" s="817"/>
      <c r="J141" s="817"/>
      <c r="K141" s="817"/>
      <c r="L141" s="817"/>
      <c r="M141" s="771"/>
      <c r="N141" s="816"/>
      <c r="O141" s="771"/>
      <c r="P141" s="771"/>
      <c r="Q141" s="771"/>
      <c r="R141" s="771"/>
      <c r="S141" s="771"/>
      <c r="T141" s="771"/>
      <c r="U141" s="771"/>
      <c r="V141" s="771"/>
      <c r="W141" s="771"/>
      <c r="X141" s="771"/>
      <c r="Y141" s="925"/>
      <c r="Z141" s="774"/>
      <c r="AA141" s="777"/>
      <c r="AB141" s="774"/>
      <c r="AC141" s="774"/>
      <c r="AD141" s="774"/>
    </row>
    <row r="142" spans="1:30" ht="9" customHeight="1">
      <c r="A142" s="773"/>
      <c r="B142" s="773"/>
      <c r="C142" s="771"/>
      <c r="D142" s="771"/>
      <c r="E142" s="771"/>
      <c r="F142" s="771"/>
      <c r="G142" s="771"/>
      <c r="H142" s="817"/>
      <c r="I142" s="817"/>
      <c r="J142" s="817"/>
      <c r="K142" s="817"/>
      <c r="L142" s="817"/>
      <c r="M142" s="771"/>
      <c r="N142" s="816"/>
      <c r="O142" s="771"/>
      <c r="P142" s="771"/>
      <c r="Q142" s="771"/>
      <c r="R142" s="771"/>
      <c r="S142" s="771"/>
      <c r="T142" s="771"/>
      <c r="U142" s="771"/>
      <c r="V142" s="771"/>
      <c r="W142" s="771"/>
      <c r="X142" s="771"/>
      <c r="Y142" s="925"/>
      <c r="Z142" s="774"/>
      <c r="AA142" s="777"/>
      <c r="AB142" s="774"/>
      <c r="AC142" s="774"/>
      <c r="AD142" s="774"/>
    </row>
    <row r="143" spans="1:30" ht="9" customHeight="1">
      <c r="A143" s="773"/>
      <c r="B143" s="773"/>
      <c r="C143" s="771"/>
      <c r="D143" s="771"/>
      <c r="E143" s="771"/>
      <c r="F143" s="771"/>
      <c r="G143" s="771"/>
      <c r="H143" s="817"/>
      <c r="I143" s="817"/>
      <c r="J143" s="817"/>
      <c r="K143" s="817"/>
      <c r="L143" s="817"/>
      <c r="M143" s="771"/>
      <c r="N143" s="816"/>
      <c r="O143" s="771"/>
      <c r="P143" s="771"/>
      <c r="Q143" s="771"/>
      <c r="R143" s="771"/>
      <c r="S143" s="771"/>
      <c r="T143" s="771"/>
      <c r="U143" s="771"/>
      <c r="V143" s="771"/>
      <c r="W143" s="771"/>
      <c r="X143" s="771"/>
      <c r="Y143" s="925"/>
      <c r="Z143" s="774"/>
      <c r="AA143" s="777"/>
      <c r="AB143" s="774"/>
      <c r="AC143" s="774"/>
      <c r="AD143" s="774"/>
    </row>
    <row r="144" spans="1:30" ht="9" customHeight="1">
      <c r="A144" s="773"/>
      <c r="B144" s="773"/>
      <c r="C144" s="771"/>
      <c r="D144" s="771"/>
      <c r="E144" s="771"/>
      <c r="F144" s="771"/>
      <c r="G144" s="771"/>
      <c r="H144" s="817"/>
      <c r="I144" s="817"/>
      <c r="J144" s="817"/>
      <c r="K144" s="817"/>
      <c r="L144" s="817"/>
      <c r="M144" s="771"/>
      <c r="N144" s="816"/>
      <c r="O144" s="771"/>
      <c r="P144" s="771"/>
      <c r="Q144" s="771"/>
      <c r="R144" s="771"/>
      <c r="S144" s="771"/>
      <c r="T144" s="771"/>
      <c r="U144" s="771"/>
      <c r="V144" s="771"/>
      <c r="W144" s="771"/>
      <c r="X144" s="771"/>
      <c r="Y144" s="925"/>
      <c r="Z144" s="774"/>
      <c r="AA144" s="777"/>
      <c r="AB144" s="774"/>
      <c r="AC144" s="774"/>
      <c r="AD144" s="774"/>
    </row>
    <row r="145" spans="1:30" ht="9" customHeight="1">
      <c r="A145" s="773"/>
      <c r="B145" s="773"/>
      <c r="C145" s="771"/>
      <c r="D145" s="771"/>
      <c r="E145" s="771"/>
      <c r="F145" s="771"/>
      <c r="G145" s="771"/>
      <c r="H145" s="817"/>
      <c r="I145" s="817"/>
      <c r="J145" s="817"/>
      <c r="K145" s="817"/>
      <c r="L145" s="817"/>
      <c r="M145" s="771"/>
      <c r="N145" s="816"/>
      <c r="O145" s="771"/>
      <c r="P145" s="771"/>
      <c r="Q145" s="771"/>
      <c r="R145" s="771"/>
      <c r="S145" s="771"/>
      <c r="T145" s="771"/>
      <c r="U145" s="771"/>
      <c r="V145" s="771"/>
      <c r="W145" s="771"/>
      <c r="X145" s="771"/>
      <c r="Y145" s="925"/>
      <c r="Z145" s="774"/>
      <c r="AA145" s="777"/>
      <c r="AB145" s="774"/>
      <c r="AC145" s="774"/>
      <c r="AD145" s="774"/>
    </row>
    <row r="146" spans="1:30" ht="9" customHeight="1">
      <c r="A146" s="773"/>
      <c r="B146" s="773"/>
      <c r="C146" s="771"/>
      <c r="D146" s="771"/>
      <c r="E146" s="771"/>
      <c r="F146" s="771"/>
      <c r="G146" s="771"/>
      <c r="H146" s="817"/>
      <c r="I146" s="817"/>
      <c r="J146" s="817"/>
      <c r="K146" s="817"/>
      <c r="L146" s="817"/>
      <c r="M146" s="771"/>
      <c r="N146" s="816"/>
      <c r="O146" s="771"/>
      <c r="P146" s="771"/>
      <c r="Q146" s="771"/>
      <c r="R146" s="771"/>
      <c r="S146" s="771"/>
      <c r="T146" s="771"/>
      <c r="U146" s="771"/>
      <c r="V146" s="771"/>
      <c r="W146" s="771"/>
      <c r="X146" s="771"/>
      <c r="Y146" s="925"/>
      <c r="Z146" s="774"/>
      <c r="AA146" s="777"/>
      <c r="AB146" s="774"/>
      <c r="AC146" s="774"/>
      <c r="AD146" s="774"/>
    </row>
    <row r="147" spans="1:30" ht="9" customHeight="1">
      <c r="A147" s="773"/>
      <c r="B147" s="773"/>
      <c r="C147" s="773"/>
      <c r="D147" s="773"/>
      <c r="E147" s="773"/>
      <c r="F147" s="773"/>
      <c r="G147" s="773"/>
      <c r="H147" s="773"/>
      <c r="I147" s="773"/>
      <c r="J147" s="773"/>
      <c r="K147" s="773"/>
      <c r="L147" s="773"/>
      <c r="M147" s="773"/>
      <c r="N147" s="773"/>
      <c r="O147" s="773"/>
      <c r="P147" s="773"/>
      <c r="Q147" s="773"/>
      <c r="R147" s="773"/>
      <c r="S147" s="773"/>
      <c r="T147" s="773"/>
      <c r="U147" s="773"/>
      <c r="V147" s="773"/>
      <c r="W147" s="773"/>
      <c r="X147" s="773"/>
      <c r="Y147" s="773"/>
      <c r="Z147" s="773"/>
      <c r="AA147" s="773"/>
      <c r="AB147" s="773"/>
      <c r="AC147" s="773"/>
      <c r="AD147" s="773"/>
    </row>
    <row r="148" spans="1:30" ht="90" customHeight="1">
      <c r="A148" s="773" t="s">
        <v>1689</v>
      </c>
      <c r="B148" s="773"/>
      <c r="C148" s="771" t="s">
        <v>2246</v>
      </c>
      <c r="D148" s="771" t="s">
        <v>1591</v>
      </c>
      <c r="E148" s="771" t="s">
        <v>1691</v>
      </c>
      <c r="F148" s="771" t="s">
        <v>2247</v>
      </c>
      <c r="G148" s="771"/>
      <c r="H148" s="771"/>
      <c r="I148" s="889"/>
      <c r="J148" s="889"/>
      <c r="K148" s="889"/>
      <c r="L148" s="889"/>
      <c r="M148" s="819"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76"/>
      <c r="O148" s="771"/>
      <c r="P148" s="772"/>
      <c r="Q148" s="772"/>
      <c r="R148" s="772"/>
      <c r="S148" s="771"/>
      <c r="T148" s="771" t="s">
        <v>2248</v>
      </c>
      <c r="U148" s="772"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72"/>
      <c r="W148" s="772"/>
      <c r="X148" s="771" t="s">
        <v>2249</v>
      </c>
      <c r="Y148" s="925"/>
      <c r="Z148" s="774"/>
      <c r="AA148" s="777"/>
      <c r="AB148" s="774"/>
      <c r="AC148" s="774"/>
      <c r="AD148" s="774"/>
    </row>
    <row r="149" spans="1:30" ht="9" customHeight="1">
      <c r="A149" s="773"/>
      <c r="B149" s="773"/>
      <c r="C149" s="773"/>
      <c r="D149" s="773"/>
      <c r="E149" s="773"/>
      <c r="F149" s="773"/>
      <c r="G149" s="773"/>
      <c r="H149" s="773"/>
      <c r="I149" s="773"/>
      <c r="J149" s="773"/>
      <c r="K149" s="773"/>
      <c r="L149" s="773"/>
      <c r="M149" s="773"/>
      <c r="N149" s="773"/>
      <c r="O149" s="773"/>
      <c r="P149" s="773"/>
      <c r="Q149" s="773"/>
      <c r="R149" s="773"/>
      <c r="S149" s="773"/>
      <c r="T149" s="773"/>
      <c r="U149" s="773"/>
      <c r="V149" s="773"/>
      <c r="W149" s="773"/>
      <c r="X149" s="773"/>
      <c r="Y149" s="773"/>
      <c r="Z149" s="773"/>
      <c r="AA149" s="773"/>
      <c r="AB149" s="773"/>
      <c r="AC149" s="773"/>
      <c r="AD149" s="773"/>
    </row>
    <row r="150" spans="1:30" ht="9" customHeight="1">
      <c r="A150" s="773" t="s">
        <v>1693</v>
      </c>
      <c r="B150" s="773"/>
      <c r="C150" s="771"/>
      <c r="D150" s="771"/>
      <c r="E150" s="771"/>
      <c r="F150" s="771"/>
      <c r="G150" s="771"/>
      <c r="H150" s="771"/>
      <c r="I150" s="771"/>
      <c r="J150" s="771"/>
      <c r="K150" s="771"/>
      <c r="L150" s="771"/>
      <c r="M150" s="771"/>
      <c r="N150" s="771"/>
      <c r="O150" s="771"/>
      <c r="P150" s="771"/>
      <c r="Q150" s="771"/>
      <c r="R150" s="771"/>
      <c r="S150" s="771"/>
      <c r="T150" s="771"/>
      <c r="U150" s="771"/>
      <c r="V150" s="771"/>
      <c r="W150" s="771"/>
      <c r="X150" s="771"/>
      <c r="Y150" s="925"/>
      <c r="Z150" s="774"/>
      <c r="AA150" s="777"/>
      <c r="AB150" s="774"/>
      <c r="AC150" s="774"/>
      <c r="AD150" s="774"/>
    </row>
    <row r="151" spans="1:30" ht="9" customHeight="1">
      <c r="A151" s="773"/>
      <c r="B151" s="773"/>
      <c r="C151" s="773"/>
      <c r="D151" s="773"/>
      <c r="E151" s="773"/>
      <c r="F151" s="773"/>
      <c r="G151" s="773"/>
      <c r="H151" s="773"/>
      <c r="I151" s="773"/>
      <c r="J151" s="773"/>
      <c r="K151" s="773"/>
      <c r="L151" s="773"/>
      <c r="M151" s="773"/>
      <c r="N151" s="773"/>
      <c r="O151" s="773"/>
      <c r="P151" s="773"/>
      <c r="Q151" s="773"/>
      <c r="R151" s="773"/>
      <c r="S151" s="773"/>
      <c r="T151" s="773"/>
      <c r="U151" s="773"/>
      <c r="V151" s="773"/>
      <c r="W151" s="773"/>
      <c r="X151" s="773"/>
      <c r="Y151" s="773"/>
      <c r="Z151" s="773"/>
      <c r="AA151" s="773"/>
      <c r="AB151" s="773"/>
      <c r="AC151" s="773"/>
      <c r="AD151" s="773"/>
    </row>
    <row r="152" spans="1:30" ht="9" customHeight="1">
      <c r="A152" s="773" t="s">
        <v>1696</v>
      </c>
      <c r="B152" s="773"/>
      <c r="C152" s="771"/>
      <c r="D152" s="771"/>
      <c r="E152" s="771"/>
      <c r="F152" s="771"/>
      <c r="G152" s="771"/>
      <c r="H152" s="771"/>
      <c r="I152" s="771"/>
      <c r="J152" s="771"/>
      <c r="K152" s="771"/>
      <c r="L152" s="771"/>
      <c r="M152" s="771"/>
      <c r="N152" s="771"/>
      <c r="O152" s="771"/>
      <c r="P152" s="771"/>
      <c r="Q152" s="771"/>
      <c r="R152" s="771"/>
      <c r="S152" s="771"/>
      <c r="T152" s="771"/>
      <c r="U152" s="771"/>
      <c r="V152" s="771"/>
      <c r="W152" s="771"/>
      <c r="X152" s="771"/>
      <c r="Y152" s="925"/>
      <c r="Z152" s="774"/>
      <c r="AA152" s="777"/>
      <c r="AB152" s="774"/>
      <c r="AC152" s="774"/>
      <c r="AD152" s="774"/>
    </row>
    <row r="153" spans="1:30" ht="9" customHeight="1">
      <c r="A153" s="773"/>
      <c r="B153" s="773"/>
      <c r="C153" s="773"/>
      <c r="D153" s="773"/>
      <c r="E153" s="773"/>
      <c r="F153" s="773"/>
      <c r="G153" s="773"/>
      <c r="H153" s="773"/>
      <c r="I153" s="773"/>
      <c r="J153" s="773"/>
      <c r="K153" s="773"/>
      <c r="L153" s="773"/>
      <c r="M153" s="773"/>
      <c r="N153" s="773"/>
      <c r="O153" s="773"/>
      <c r="P153" s="773"/>
      <c r="Q153" s="773"/>
      <c r="R153" s="773"/>
      <c r="S153" s="773"/>
      <c r="T153" s="773"/>
      <c r="U153" s="773"/>
      <c r="V153" s="773"/>
      <c r="W153" s="773"/>
      <c r="X153" s="773"/>
      <c r="Y153" s="773"/>
      <c r="Z153" s="773"/>
      <c r="AA153" s="773"/>
      <c r="AB153" s="773"/>
      <c r="AC153" s="773"/>
      <c r="AD153" s="773"/>
    </row>
    <row r="154" spans="1:30" ht="9" customHeight="1">
      <c r="A154" s="773" t="s">
        <v>1701</v>
      </c>
      <c r="B154" s="773"/>
      <c r="C154" s="771"/>
      <c r="D154" s="771"/>
      <c r="E154" s="771"/>
      <c r="F154" s="771"/>
      <c r="G154" s="771"/>
      <c r="H154" s="771"/>
      <c r="I154" s="771"/>
      <c r="J154" s="771"/>
      <c r="K154" s="771"/>
      <c r="L154" s="771"/>
      <c r="M154" s="771"/>
      <c r="N154" s="771"/>
      <c r="O154" s="771"/>
      <c r="P154" s="771"/>
      <c r="Q154" s="771"/>
      <c r="R154" s="771"/>
      <c r="S154" s="771"/>
      <c r="T154" s="771"/>
      <c r="U154" s="771"/>
      <c r="V154" s="771"/>
      <c r="W154" s="771"/>
      <c r="X154" s="771"/>
      <c r="Y154" s="925"/>
      <c r="Z154" s="774"/>
      <c r="AA154" s="777"/>
      <c r="AB154" s="774"/>
      <c r="AC154" s="774"/>
      <c r="AD154" s="774"/>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244" hidden="1"/>
    <col min="2" max="2" width="11" style="2244" hidden="1" customWidth="1"/>
    <col min="3" max="3" width="10.5703125" style="2244" hidden="1"/>
    <col min="4" max="4" width="11.85546875" style="2244" hidden="1" customWidth="1"/>
    <col min="5" max="5" width="12.28515625" style="2244" hidden="1" customWidth="1"/>
    <col min="6" max="8" width="12.28515625" style="2271" hidden="1" customWidth="1"/>
    <col min="9" max="9" width="3" style="2272" customWidth="1"/>
    <col min="10" max="11" width="3" style="2273" customWidth="1"/>
    <col min="12" max="12" width="12" style="2274" customWidth="1"/>
    <col min="13" max="13" width="31" style="2238" customWidth="1"/>
    <col min="14" max="14" width="1" style="2238" customWidth="1"/>
    <col min="15" max="18" width="24" style="2238" customWidth="1"/>
    <col min="19" max="19" width="11" style="2238" customWidth="1"/>
    <col min="20" max="20" width="3.7109375" style="2238" customWidth="1"/>
    <col min="21" max="21" width="11" style="2238" customWidth="1"/>
    <col min="22" max="22" width="8.5703125" style="2238" customWidth="1"/>
    <col min="23" max="23" width="4" style="2238" customWidth="1"/>
    <col min="24" max="24" width="115" style="2238" customWidth="1"/>
    <col min="25" max="29" width="10" style="2245" customWidth="1"/>
    <col min="30" max="30" width="10.5703125" style="2238" hidden="1"/>
  </cols>
  <sheetData>
    <row r="1" spans="1:30" ht="22.5" hidden="1" customHeight="1">
      <c r="R1" s="264"/>
      <c r="S1" s="264"/>
      <c r="AD1" s="1074" t="s">
        <v>14</v>
      </c>
    </row>
    <row r="2" spans="1:30" ht="14.25" hidden="1" customHeight="1">
      <c r="V2" s="264"/>
      <c r="AD2" s="1074">
        <v>0</v>
      </c>
    </row>
    <row r="3" spans="1:30" ht="14.25" hidden="1" customHeight="1">
      <c r="AD3" s="1074">
        <v>0</v>
      </c>
    </row>
    <row r="4" spans="1:30" ht="14.65" customHeight="1">
      <c r="J4" s="313"/>
      <c r="K4" s="313"/>
      <c r="L4" s="1194"/>
      <c r="M4" s="300"/>
      <c r="N4" s="300"/>
      <c r="O4" s="446"/>
      <c r="P4" s="446"/>
      <c r="Q4" s="446"/>
      <c r="R4" s="446"/>
      <c r="S4" s="446"/>
      <c r="T4" s="446"/>
      <c r="U4" s="446"/>
      <c r="V4" s="446"/>
      <c r="AD4" s="1074">
        <v>14</v>
      </c>
    </row>
    <row r="5" spans="1:30" ht="67.150000000000006" customHeight="1">
      <c r="J5" s="313"/>
      <c r="K5" s="313"/>
      <c r="L5" s="2765" t="s">
        <v>2250</v>
      </c>
      <c r="M5" s="2765"/>
      <c r="N5" s="2765"/>
      <c r="O5" s="2765"/>
      <c r="P5" s="2765"/>
      <c r="Q5" s="2765"/>
      <c r="R5" s="2765"/>
      <c r="S5" s="2765"/>
      <c r="T5" s="2765"/>
      <c r="U5" s="2765"/>
      <c r="V5" s="1162"/>
      <c r="AD5" s="1074">
        <v>64</v>
      </c>
    </row>
    <row r="6" spans="1:30" ht="14.65" customHeight="1">
      <c r="J6" s="313"/>
      <c r="K6" s="313"/>
      <c r="L6" s="2766" t="str">
        <f>IF(org=0,"Не определено",org)</f>
        <v>МУП "Водоканал"</v>
      </c>
      <c r="M6" s="2766"/>
      <c r="N6" s="2766"/>
      <c r="O6" s="2766"/>
      <c r="P6" s="2766"/>
      <c r="Q6" s="2766"/>
      <c r="R6" s="2766"/>
      <c r="S6" s="2766"/>
      <c r="T6" s="2766"/>
      <c r="U6" s="2766"/>
      <c r="V6" s="1162"/>
      <c r="AD6" s="1074">
        <v>14</v>
      </c>
    </row>
    <row r="7" spans="1:30" ht="14.65" customHeight="1">
      <c r="J7" s="313"/>
      <c r="K7" s="313"/>
      <c r="L7" s="1194"/>
      <c r="M7" s="300"/>
      <c r="N7" s="300"/>
      <c r="O7" s="259"/>
      <c r="P7" s="259"/>
      <c r="Q7" s="259"/>
      <c r="R7" s="259"/>
      <c r="S7" s="259"/>
      <c r="T7" s="259"/>
      <c r="U7" s="259"/>
      <c r="V7" s="259"/>
      <c r="W7" s="446"/>
      <c r="AD7" s="1074">
        <v>14</v>
      </c>
    </row>
    <row r="8" spans="1:30" s="2254" customFormat="1" ht="48.2" customHeight="1">
      <c r="A8" s="1287"/>
      <c r="B8" s="1287"/>
      <c r="C8" s="1287"/>
      <c r="D8" s="1287"/>
      <c r="E8" s="1287"/>
      <c r="F8" s="1287"/>
      <c r="G8" s="1287"/>
      <c r="H8" s="1287"/>
      <c r="L8" s="1195"/>
      <c r="M8" s="232" t="s">
        <v>41</v>
      </c>
      <c r="N8" s="241"/>
      <c r="O8" s="2476" t="str">
        <f>IF(TITLE_NAME_OR_PR_CHANGE="",IF(TITLE_NAME_OR_PR="","",TITLE_NAME_OR_PR),TITLE_NAME_OR_PR_CHANGE)</f>
        <v/>
      </c>
      <c r="P8" s="2476"/>
      <c r="Q8" s="2476"/>
      <c r="R8" s="2476"/>
      <c r="S8" s="2476"/>
      <c r="T8" s="2476"/>
      <c r="U8" s="2476"/>
      <c r="V8" s="263"/>
      <c r="W8" s="263"/>
      <c r="X8" s="217"/>
      <c r="Y8" s="305"/>
      <c r="Z8" s="305"/>
      <c r="AA8" s="305"/>
      <c r="AB8" s="305"/>
      <c r="AC8" s="305"/>
      <c r="AD8" s="355">
        <v>46</v>
      </c>
    </row>
    <row r="9" spans="1:30" s="2254" customFormat="1" ht="24" customHeight="1">
      <c r="A9" s="1287"/>
      <c r="B9" s="1287"/>
      <c r="C9" s="1287"/>
      <c r="D9" s="1287"/>
      <c r="E9" s="1287"/>
      <c r="F9" s="1287"/>
      <c r="G9" s="1287"/>
      <c r="H9" s="1287"/>
      <c r="L9" s="1195"/>
      <c r="M9" s="232" t="s">
        <v>421</v>
      </c>
      <c r="N9" s="241"/>
      <c r="O9" s="2476" t="str">
        <f>IF(TITLE_DATE_CHANGE_PERIOD="",IF(TITLE_DATE_PR="","",TITLE_DATE_PR),TITLE_DATE_CHANGE_PERIOD)</f>
        <v/>
      </c>
      <c r="P9" s="2476"/>
      <c r="Q9" s="2476"/>
      <c r="R9" s="2476"/>
      <c r="S9" s="2476"/>
      <c r="T9" s="2476"/>
      <c r="U9" s="2476"/>
      <c r="V9" s="263"/>
      <c r="W9" s="263"/>
      <c r="X9" s="217"/>
      <c r="Y9" s="305"/>
      <c r="Z9" s="305"/>
      <c r="AA9" s="305"/>
      <c r="AB9" s="305"/>
      <c r="AC9" s="305"/>
      <c r="AD9" s="355">
        <v>23</v>
      </c>
    </row>
    <row r="10" spans="1:30" s="2254" customFormat="1" ht="24" customHeight="1">
      <c r="A10" s="1287"/>
      <c r="B10" s="1287"/>
      <c r="C10" s="1287"/>
      <c r="D10" s="1287"/>
      <c r="E10" s="1287"/>
      <c r="F10" s="1287"/>
      <c r="G10" s="1287"/>
      <c r="H10" s="1287"/>
      <c r="L10" s="1169"/>
      <c r="M10" s="232" t="s">
        <v>422</v>
      </c>
      <c r="N10" s="241"/>
      <c r="O10" s="2476" t="str">
        <f>IF(TITLE_NUMBER_PR_CHANGE="",IF(TITLE_NUMBER_PR="","",TITLE_NUMBER_PR),TITLE_NUMBER_PR_CHANGE)</f>
        <v/>
      </c>
      <c r="P10" s="2476"/>
      <c r="Q10" s="2476"/>
      <c r="R10" s="2476"/>
      <c r="S10" s="2476"/>
      <c r="T10" s="2476"/>
      <c r="U10" s="2476"/>
      <c r="V10" s="263"/>
      <c r="W10" s="263"/>
      <c r="X10" s="217"/>
      <c r="Y10" s="305"/>
      <c r="Z10" s="305"/>
      <c r="AA10" s="305"/>
      <c r="AB10" s="305"/>
      <c r="AC10" s="305"/>
      <c r="AD10" s="355">
        <v>23</v>
      </c>
    </row>
    <row r="11" spans="1:30" s="2254" customFormat="1" ht="24" customHeight="1">
      <c r="A11" s="1287"/>
      <c r="B11" s="1287"/>
      <c r="C11" s="1287"/>
      <c r="D11" s="1287"/>
      <c r="E11" s="1287"/>
      <c r="F11" s="1287"/>
      <c r="G11" s="1287"/>
      <c r="H11" s="1287"/>
      <c r="L11" s="1169"/>
      <c r="M11" s="232" t="s">
        <v>42</v>
      </c>
      <c r="N11" s="241"/>
      <c r="O11" s="2476" t="str">
        <f>IF(TITLE_IST_PUB_CHANGE="",IF(TITLE_IST_PUB="","",TITLE_IST_PUB),TITLE_IST_PUB_CHANGE)</f>
        <v/>
      </c>
      <c r="P11" s="2476"/>
      <c r="Q11" s="2476"/>
      <c r="R11" s="2476"/>
      <c r="S11" s="2476"/>
      <c r="T11" s="2476"/>
      <c r="U11" s="2476"/>
      <c r="V11" s="263"/>
      <c r="W11" s="263"/>
      <c r="X11" s="217"/>
      <c r="Y11" s="305"/>
      <c r="Z11" s="305"/>
      <c r="AA11" s="305"/>
      <c r="AB11" s="305"/>
      <c r="AC11" s="305"/>
      <c r="AD11" s="355">
        <v>23</v>
      </c>
    </row>
    <row r="12" spans="1:30" s="2254" customFormat="1" ht="11.25" hidden="1" customHeight="1">
      <c r="A12" s="1287"/>
      <c r="B12" s="1287"/>
      <c r="C12" s="1287"/>
      <c r="D12" s="1287"/>
      <c r="E12" s="1287"/>
      <c r="F12" s="1287"/>
      <c r="G12" s="1287"/>
      <c r="H12" s="1287"/>
      <c r="L12" s="2767"/>
      <c r="M12" s="2767"/>
      <c r="N12" s="1206"/>
      <c r="O12" s="263"/>
      <c r="P12" s="263"/>
      <c r="Q12" s="263"/>
      <c r="R12" s="263"/>
      <c r="S12" s="263"/>
      <c r="T12" s="263"/>
      <c r="U12" s="263"/>
      <c r="V12" s="215" t="s">
        <v>425</v>
      </c>
      <c r="Y12" s="305"/>
      <c r="Z12" s="305"/>
      <c r="AA12" s="305"/>
      <c r="AB12" s="305"/>
      <c r="AC12" s="305"/>
      <c r="AD12" s="355">
        <v>0</v>
      </c>
    </row>
    <row r="13" spans="1:30" ht="14.65" customHeight="1">
      <c r="J13" s="313"/>
      <c r="K13" s="313"/>
      <c r="L13" s="1194"/>
      <c r="M13" s="300"/>
      <c r="N13" s="1163"/>
      <c r="O13" s="2477"/>
      <c r="P13" s="2477"/>
      <c r="Q13" s="2477"/>
      <c r="R13" s="2477"/>
      <c r="S13" s="2477"/>
      <c r="T13" s="2477"/>
      <c r="U13" s="2477"/>
      <c r="V13" s="2477"/>
      <c r="AD13" s="1074">
        <v>14</v>
      </c>
    </row>
    <row r="14" spans="1:30" ht="14.65" customHeight="1">
      <c r="J14" s="313"/>
      <c r="K14" s="313"/>
      <c r="L14" s="2363" t="s">
        <v>298</v>
      </c>
      <c r="M14" s="2363"/>
      <c r="N14" s="2363"/>
      <c r="O14" s="2363"/>
      <c r="P14" s="2363"/>
      <c r="Q14" s="2363"/>
      <c r="R14" s="2363"/>
      <c r="S14" s="2363"/>
      <c r="T14" s="2363"/>
      <c r="U14" s="2363"/>
      <c r="V14" s="2363"/>
      <c r="W14" s="2363"/>
      <c r="X14" s="2363" t="s">
        <v>299</v>
      </c>
      <c r="AD14" s="1074">
        <v>14</v>
      </c>
    </row>
    <row r="15" spans="1:30" ht="14.65" customHeight="1">
      <c r="J15" s="313"/>
      <c r="K15" s="313"/>
      <c r="L15" s="2491" t="s">
        <v>87</v>
      </c>
      <c r="M15" s="2442" t="s">
        <v>426</v>
      </c>
      <c r="N15" s="238"/>
      <c r="O15" s="2492" t="s">
        <v>2251</v>
      </c>
      <c r="P15" s="2493"/>
      <c r="Q15" s="2493"/>
      <c r="R15" s="2493"/>
      <c r="S15" s="2493"/>
      <c r="T15" s="2493"/>
      <c r="U15" s="2494"/>
      <c r="V15" s="2495" t="s">
        <v>428</v>
      </c>
      <c r="W15" s="2498" t="s">
        <v>1182</v>
      </c>
      <c r="X15" s="2363"/>
      <c r="AD15" s="1074">
        <v>14</v>
      </c>
    </row>
    <row r="16" spans="1:30" ht="35.65" customHeight="1">
      <c r="J16" s="313"/>
      <c r="K16" s="313"/>
      <c r="L16" s="2491"/>
      <c r="M16" s="2442"/>
      <c r="N16" s="955"/>
      <c r="O16" s="2411" t="s">
        <v>431</v>
      </c>
      <c r="P16" s="2411" t="s">
        <v>432</v>
      </c>
      <c r="Q16" s="2335" t="s">
        <v>433</v>
      </c>
      <c r="R16" s="2334"/>
      <c r="S16" s="2335" t="s">
        <v>447</v>
      </c>
      <c r="T16" s="2340"/>
      <c r="U16" s="2334"/>
      <c r="V16" s="2496"/>
      <c r="W16" s="2499"/>
      <c r="X16" s="2363"/>
      <c r="AD16" s="1074">
        <v>34</v>
      </c>
    </row>
    <row r="17" spans="1:30" ht="35.65" customHeight="1">
      <c r="A17" s="1289" t="s">
        <v>134</v>
      </c>
      <c r="B17" s="1289" t="s">
        <v>135</v>
      </c>
      <c r="C17" s="1289" t="s">
        <v>136</v>
      </c>
      <c r="D17" s="1289" t="s">
        <v>137</v>
      </c>
      <c r="E17" s="1289"/>
      <c r="J17" s="313"/>
      <c r="K17" s="313"/>
      <c r="L17" s="2491"/>
      <c r="M17" s="2442"/>
      <c r="N17" s="239"/>
      <c r="O17" s="2462"/>
      <c r="P17" s="2462"/>
      <c r="Q17" s="1141" t="s">
        <v>442</v>
      </c>
      <c r="R17" s="1141" t="s">
        <v>443</v>
      </c>
      <c r="S17" s="1211" t="s">
        <v>444</v>
      </c>
      <c r="T17" s="2451" t="s">
        <v>445</v>
      </c>
      <c r="U17" s="2453"/>
      <c r="V17" s="2497"/>
      <c r="W17" s="2500"/>
      <c r="X17" s="2363"/>
      <c r="AD17" s="1074">
        <v>34</v>
      </c>
    </row>
    <row r="18" spans="1:30" s="2269" customFormat="1" ht="11.45" customHeight="1">
      <c r="A18" s="1289"/>
      <c r="B18" s="1289"/>
      <c r="C18" s="1289"/>
      <c r="D18" s="1289"/>
      <c r="E18" s="1289"/>
      <c r="F18" s="1281"/>
      <c r="G18" s="1281"/>
      <c r="H18" s="1281"/>
      <c r="I18" s="1165"/>
      <c r="J18" s="1166"/>
      <c r="K18" s="1173">
        <v>1</v>
      </c>
      <c r="L18" s="1196" t="s">
        <v>108</v>
      </c>
      <c r="M18" s="1174" t="s">
        <v>109</v>
      </c>
      <c r="N18" s="1164" t="str">
        <f ca="1">OFFSET(N18,0,-1)</f>
        <v>2</v>
      </c>
      <c r="O18" s="1208">
        <f ca="1">OFFSET(O18,0,-1)+1</f>
        <v>3</v>
      </c>
      <c r="P18" s="1208"/>
      <c r="Q18" s="1208">
        <f ca="1">OFFSET(Q18,0,-1)+1</f>
        <v>1</v>
      </c>
      <c r="R18" s="1208">
        <f ca="1">OFFSET(R18,0,-1)+1</f>
        <v>2</v>
      </c>
      <c r="S18" s="1208">
        <f ca="1">OFFSET(S18,0,-1)+1</f>
        <v>3</v>
      </c>
      <c r="T18" s="2490">
        <f ca="1">OFFSET(T18,0,-1)+1</f>
        <v>4</v>
      </c>
      <c r="U18" s="2490"/>
      <c r="V18" s="1208">
        <f ca="1">OFFSET(V18,0,-2)+1</f>
        <v>5</v>
      </c>
      <c r="W18" s="1164">
        <f ca="1">OFFSET(W18,0,-1)</f>
        <v>5</v>
      </c>
      <c r="X18" s="1208">
        <f ca="1">OFFSET(X18,0,-1)+1</f>
        <v>6</v>
      </c>
      <c r="Y18" s="448"/>
      <c r="Z18" s="448"/>
      <c r="AA18" s="448"/>
      <c r="AB18" s="448"/>
      <c r="AC18" s="448"/>
      <c r="AD18" s="433">
        <v>11</v>
      </c>
    </row>
    <row r="19" spans="1:30" ht="21" customHeight="1">
      <c r="A19" s="1282" t="s">
        <v>168</v>
      </c>
      <c r="B19" s="1282" t="s">
        <v>169</v>
      </c>
      <c r="C19" s="1282" t="s">
        <v>170</v>
      </c>
      <c r="D19" s="1282" t="s">
        <v>171</v>
      </c>
      <c r="E19" s="1282"/>
      <c r="F19" s="1284"/>
      <c r="G19" s="1284"/>
      <c r="H19" s="1284"/>
      <c r="I19" s="298"/>
      <c r="J19" s="297"/>
      <c r="K19" s="292"/>
      <c r="L19" s="1212">
        <f>INDEX(PT_DIFFERENTIATION_NUM_NTAR,MATCH(A19,PT_DIFFERENTIATION_NTAR_ID,0))</f>
        <v>0</v>
      </c>
      <c r="M19" s="235" t="s">
        <v>123</v>
      </c>
      <c r="N19" s="237"/>
      <c r="O19" s="2768" t="str">
        <f>INDEX(PT_DIFFERENTIATION_NTAR,MATCH(A19,PT_DIFFERENTIATION_NTAR_ID,0))</f>
        <v/>
      </c>
      <c r="P19" s="2768"/>
      <c r="Q19" s="2768"/>
      <c r="R19" s="2768"/>
      <c r="S19" s="2768"/>
      <c r="T19" s="2768"/>
      <c r="U19" s="2768"/>
      <c r="V19" s="2768"/>
      <c r="W19" s="2768"/>
      <c r="X19" s="1177" t="s">
        <v>394</v>
      </c>
      <c r="Z19" s="437"/>
      <c r="AA19" s="437" t="str">
        <f t="shared" ref="AA19:AA32" si="0">IF(M19="","",M19)</f>
        <v>Наименование тарифа</v>
      </c>
      <c r="AB19" s="437"/>
      <c r="AC19" s="437"/>
      <c r="AD19" s="1074">
        <v>20</v>
      </c>
    </row>
    <row r="20" spans="1:30" ht="21" customHeight="1">
      <c r="A20" s="1282" t="s">
        <v>168</v>
      </c>
      <c r="B20" s="1282" t="s">
        <v>169</v>
      </c>
      <c r="C20" s="1282" t="s">
        <v>170</v>
      </c>
      <c r="D20" s="1282" t="s">
        <v>171</v>
      </c>
      <c r="E20" s="1282"/>
      <c r="F20" s="1284"/>
      <c r="G20" s="1284"/>
      <c r="H20" s="1284"/>
      <c r="I20" s="1209"/>
      <c r="J20" s="289"/>
      <c r="K20" s="290"/>
      <c r="L20" s="1212" t="str">
        <f>INDEX(PT_DIFFERENTIATION_NUM_TER,MATCH(B19,PT_DIFFERENTIATION_TER_ID,0))</f>
        <v>.</v>
      </c>
      <c r="M20" s="245" t="s">
        <v>395</v>
      </c>
      <c r="N20" s="237"/>
      <c r="O20" s="2768" t="str">
        <f>INDEX(PT_DIFFERENTIATION_TER,MATCH(B19,PT_DIFFERENTIATION_TER_ID,0))</f>
        <v/>
      </c>
      <c r="P20" s="2768"/>
      <c r="Q20" s="2768"/>
      <c r="R20" s="2768"/>
      <c r="S20" s="2768"/>
      <c r="T20" s="2768"/>
      <c r="U20" s="2768"/>
      <c r="V20" s="2768"/>
      <c r="W20" s="2768"/>
      <c r="X20" s="1177" t="s">
        <v>396</v>
      </c>
      <c r="Z20" s="437"/>
      <c r="AA20" s="437" t="str">
        <f t="shared" si="0"/>
        <v>Территория действия тарифа</v>
      </c>
      <c r="AB20" s="437"/>
      <c r="AC20" s="437"/>
      <c r="AD20" s="1074">
        <v>20</v>
      </c>
    </row>
    <row r="21" spans="1:30" ht="24" customHeight="1">
      <c r="A21" s="1282" t="s">
        <v>168</v>
      </c>
      <c r="B21" s="1282" t="s">
        <v>169</v>
      </c>
      <c r="C21" s="1282" t="s">
        <v>170</v>
      </c>
      <c r="D21" s="1282" t="s">
        <v>171</v>
      </c>
      <c r="E21" s="1282"/>
      <c r="F21" s="1284"/>
      <c r="G21" s="1284"/>
      <c r="H21" s="1284"/>
      <c r="I21" s="291"/>
      <c r="J21" s="289"/>
      <c r="K21" s="290"/>
      <c r="L21" s="1212" t="str">
        <f>INDEX(PT_DIFFERENTIATION_NUM_CS,MATCH(C19,PT_DIFFERENTIATION_CS_ID,0))</f>
        <v>..</v>
      </c>
      <c r="M21" s="246" t="s">
        <v>397</v>
      </c>
      <c r="N21" s="237"/>
      <c r="O21" s="2768" t="str">
        <f>INDEX(PT_DIFFERENTIATION_CS,MATCH(C19,PT_DIFFERENTIATION_CS_ID,0))</f>
        <v/>
      </c>
      <c r="P21" s="2768"/>
      <c r="Q21" s="2768"/>
      <c r="R21" s="2768"/>
      <c r="S21" s="2768"/>
      <c r="T21" s="2768"/>
      <c r="U21" s="2768"/>
      <c r="V21" s="2768"/>
      <c r="W21" s="2768"/>
      <c r="X21" s="1177" t="s">
        <v>398</v>
      </c>
      <c r="Z21" s="437"/>
      <c r="AA21" s="437" t="str">
        <f t="shared" si="0"/>
        <v xml:space="preserve">Наименование системы теплоснабжения </v>
      </c>
      <c r="AB21" s="437"/>
      <c r="AC21" s="437"/>
      <c r="AD21" s="1074">
        <v>23</v>
      </c>
    </row>
    <row r="22" spans="1:30" ht="21" customHeight="1">
      <c r="A22" s="1282" t="s">
        <v>168</v>
      </c>
      <c r="B22" s="1282" t="s">
        <v>169</v>
      </c>
      <c r="C22" s="1282" t="s">
        <v>170</v>
      </c>
      <c r="D22" s="1282" t="s">
        <v>171</v>
      </c>
      <c r="E22" s="1282"/>
      <c r="F22" s="1284"/>
      <c r="G22" s="1284"/>
      <c r="H22" s="1284"/>
      <c r="I22" s="291"/>
      <c r="J22" s="289"/>
      <c r="K22" s="290"/>
      <c r="L22" s="1212" t="str">
        <f>INDEX(PT_DIFFERENTIATION_NUM_IST_TE,MATCH(D19,PT_DIFFERENTIATION_IST_TE_ID,0))</f>
        <v>...</v>
      </c>
      <c r="M22" s="247" t="s">
        <v>399</v>
      </c>
      <c r="N22" s="237"/>
      <c r="O22" s="2768" t="str">
        <f>INDEX(PT_DIFFERENTIATION_IST_TE,MATCH(D19,PT_DIFFERENTIATION_IST_TE_ID,0))</f>
        <v/>
      </c>
      <c r="P22" s="2768"/>
      <c r="Q22" s="2768"/>
      <c r="R22" s="2768"/>
      <c r="S22" s="2768"/>
      <c r="T22" s="2768"/>
      <c r="U22" s="2768"/>
      <c r="V22" s="2768"/>
      <c r="W22" s="2768"/>
      <c r="X22" s="1177" t="s">
        <v>400</v>
      </c>
      <c r="Z22" s="437"/>
      <c r="AA22" s="437" t="str">
        <f t="shared" si="0"/>
        <v xml:space="preserve">Источник тепловой энергии  </v>
      </c>
      <c r="AB22" s="437"/>
      <c r="AC22" s="437"/>
      <c r="AD22" s="1074">
        <v>20</v>
      </c>
    </row>
    <row r="23" spans="1:30" ht="96.75" customHeight="1">
      <c r="A23" s="1282" t="s">
        <v>168</v>
      </c>
      <c r="B23" s="1282" t="s">
        <v>169</v>
      </c>
      <c r="C23" s="1282" t="s">
        <v>170</v>
      </c>
      <c r="D23" s="1282" t="s">
        <v>171</v>
      </c>
      <c r="E23" s="1282"/>
      <c r="F23" s="2450" t="str">
        <f>L22&amp;".1"</f>
        <v>....1</v>
      </c>
      <c r="I23" s="2482">
        <v>1</v>
      </c>
      <c r="J23" s="1210"/>
      <c r="K23" s="293"/>
      <c r="L23" s="1212" t="str">
        <f>$F$23</f>
        <v>....1</v>
      </c>
      <c r="M23" s="222" t="s">
        <v>402</v>
      </c>
      <c r="N23" s="237"/>
      <c r="O23" s="2520"/>
      <c r="P23" s="2520"/>
      <c r="Q23" s="2520"/>
      <c r="R23" s="2520"/>
      <c r="S23" s="2520"/>
      <c r="T23" s="2520"/>
      <c r="U23" s="2520"/>
      <c r="V23" s="2520"/>
      <c r="W23" s="2520"/>
      <c r="X23" s="1177" t="s">
        <v>403</v>
      </c>
      <c r="Z23" s="437"/>
      <c r="AA23" s="437" t="str">
        <f t="shared" si="0"/>
        <v>Схема подключения теплопотребляющей установки к коллектору источника тепловой энергии</v>
      </c>
      <c r="AB23" s="437"/>
      <c r="AC23" s="437"/>
      <c r="AD23" s="1074">
        <v>92</v>
      </c>
    </row>
    <row r="24" spans="1:30" ht="86.25" customHeight="1">
      <c r="A24" s="1282" t="s">
        <v>168</v>
      </c>
      <c r="B24" s="1282" t="s">
        <v>169</v>
      </c>
      <c r="C24" s="1282" t="s">
        <v>170</v>
      </c>
      <c r="D24" s="1282" t="s">
        <v>171</v>
      </c>
      <c r="E24" s="1282"/>
      <c r="F24" s="2450"/>
      <c r="G24" s="2450" t="str">
        <f>F23&amp;".1"</f>
        <v>....1.1</v>
      </c>
      <c r="I24" s="2482"/>
      <c r="J24" s="2482">
        <v>1</v>
      </c>
      <c r="K24" s="294"/>
      <c r="L24" s="1212" t="str">
        <f>$G$24</f>
        <v>....1.1</v>
      </c>
      <c r="M24" s="223" t="s">
        <v>405</v>
      </c>
      <c r="N24" s="237"/>
      <c r="O24" s="2472"/>
      <c r="P24" s="2473"/>
      <c r="Q24" s="2473"/>
      <c r="R24" s="2473"/>
      <c r="S24" s="2473"/>
      <c r="T24" s="2473"/>
      <c r="U24" s="2473"/>
      <c r="V24" s="2473"/>
      <c r="W24" s="2474"/>
      <c r="X24" s="1177" t="s">
        <v>406</v>
      </c>
      <c r="Z24" s="437"/>
      <c r="AA24" s="437" t="str">
        <f t="shared" si="0"/>
        <v>Группа потребителей</v>
      </c>
      <c r="AB24" s="437"/>
      <c r="AC24" s="437"/>
      <c r="AD24" s="1074">
        <v>82</v>
      </c>
    </row>
    <row r="25" spans="1:30" ht="11.45" customHeight="1">
      <c r="A25" s="1282" t="s">
        <v>168</v>
      </c>
      <c r="B25" s="1282" t="s">
        <v>169</v>
      </c>
      <c r="C25" s="1282" t="s">
        <v>170</v>
      </c>
      <c r="D25" s="1282" t="s">
        <v>171</v>
      </c>
      <c r="E25" s="1282"/>
      <c r="F25" s="2450"/>
      <c r="G25" s="2450"/>
      <c r="H25" s="2450" t="str">
        <f>G24&amp;".1"</f>
        <v>....1.1.1</v>
      </c>
      <c r="I25" s="2482"/>
      <c r="J25" s="2482"/>
      <c r="K25" s="294">
        <v>1</v>
      </c>
      <c r="L25" s="1212" t="str">
        <f>$H$25</f>
        <v>....1.1.1</v>
      </c>
      <c r="M25" s="1266"/>
      <c r="N25" s="237"/>
      <c r="O25" s="688"/>
      <c r="P25" s="262"/>
      <c r="Q25" s="688"/>
      <c r="R25" s="1176"/>
      <c r="S25" s="2486"/>
      <c r="T25" s="2344" t="s">
        <v>64</v>
      </c>
      <c r="U25" s="2486"/>
      <c r="V25" s="2344" t="s">
        <v>19</v>
      </c>
      <c r="W25" s="262"/>
      <c r="X25" s="2478" t="s">
        <v>408</v>
      </c>
      <c r="Y25" s="448" t="e">
        <f ca="1">STRCHECKDATE(O26:W26)</f>
        <v>#NAME?</v>
      </c>
      <c r="Z25" s="437"/>
      <c r="AA25" s="437" t="str">
        <f t="shared" si="0"/>
        <v/>
      </c>
      <c r="AB25" s="437"/>
      <c r="AC25" s="437"/>
      <c r="AD25" s="1074">
        <v>11</v>
      </c>
    </row>
    <row r="26" spans="1:30" ht="11.45" customHeight="1">
      <c r="A26" s="1282" t="s">
        <v>168</v>
      </c>
      <c r="B26" s="1282" t="s">
        <v>169</v>
      </c>
      <c r="C26" s="1282" t="s">
        <v>170</v>
      </c>
      <c r="D26" s="1282" t="s">
        <v>171</v>
      </c>
      <c r="E26" s="1282"/>
      <c r="F26" s="2450"/>
      <c r="G26" s="2450"/>
      <c r="H26" s="2450"/>
      <c r="I26" s="2482"/>
      <c r="J26" s="2482"/>
      <c r="K26" s="294"/>
      <c r="L26" s="1213"/>
      <c r="M26" s="237"/>
      <c r="N26" s="237"/>
      <c r="O26" s="262"/>
      <c r="P26" s="262"/>
      <c r="Q26" s="262"/>
      <c r="R26" s="265" t="str">
        <f>S25&amp;"-"&amp;U25</f>
        <v>-</v>
      </c>
      <c r="S26" s="2487"/>
      <c r="T26" s="2344"/>
      <c r="U26" s="2487"/>
      <c r="V26" s="2344"/>
      <c r="W26" s="262"/>
      <c r="X26" s="2479"/>
      <c r="Z26" s="437"/>
      <c r="AA26" s="437" t="str">
        <f t="shared" si="0"/>
        <v/>
      </c>
      <c r="AB26" s="437"/>
      <c r="AC26" s="437"/>
      <c r="AD26" s="1074">
        <v>11</v>
      </c>
    </row>
    <row r="27" spans="1:30" ht="15.75" customHeight="1">
      <c r="A27" s="1282" t="s">
        <v>168</v>
      </c>
      <c r="B27" s="1282" t="s">
        <v>169</v>
      </c>
      <c r="C27" s="1282" t="s">
        <v>170</v>
      </c>
      <c r="D27" s="1282" t="s">
        <v>171</v>
      </c>
      <c r="E27" s="1282"/>
      <c r="F27" s="2450"/>
      <c r="G27" s="2450"/>
      <c r="I27" s="2482"/>
      <c r="J27" s="2482"/>
      <c r="K27" s="293"/>
      <c r="L27" s="1197"/>
      <c r="M27" s="225" t="s">
        <v>409</v>
      </c>
      <c r="N27" s="304"/>
      <c r="O27" s="304"/>
      <c r="P27" s="304"/>
      <c r="Q27" s="304"/>
      <c r="R27" s="304"/>
      <c r="S27" s="304"/>
      <c r="T27" s="304"/>
      <c r="U27" s="304"/>
      <c r="V27" s="304"/>
      <c r="W27" s="261"/>
      <c r="X27" s="2480"/>
      <c r="Z27" s="437"/>
      <c r="AA27" s="437" t="str">
        <f t="shared" si="0"/>
        <v>Добавить вид теплоносителя (параметры теплоносителя)</v>
      </c>
      <c r="AB27" s="437"/>
      <c r="AC27" s="437"/>
      <c r="AD27" s="1074">
        <v>15</v>
      </c>
    </row>
    <row r="28" spans="1:30" ht="15.75" customHeight="1">
      <c r="A28" s="1282" t="s">
        <v>168</v>
      </c>
      <c r="B28" s="1282" t="s">
        <v>169</v>
      </c>
      <c r="C28" s="1282" t="s">
        <v>170</v>
      </c>
      <c r="D28" s="1282" t="s">
        <v>171</v>
      </c>
      <c r="E28" s="1282"/>
      <c r="F28" s="2450"/>
      <c r="I28" s="2482"/>
      <c r="J28" s="1210"/>
      <c r="K28" s="293"/>
      <c r="L28" s="1197"/>
      <c r="M28" s="224" t="s">
        <v>410</v>
      </c>
      <c r="N28" s="304"/>
      <c r="O28" s="304"/>
      <c r="P28" s="304"/>
      <c r="Q28" s="304"/>
      <c r="R28" s="304"/>
      <c r="S28" s="304"/>
      <c r="T28" s="304"/>
      <c r="U28" s="304"/>
      <c r="V28" s="303"/>
      <c r="W28" s="304"/>
      <c r="X28" s="240"/>
      <c r="Z28" s="437"/>
      <c r="AA28" s="437" t="str">
        <f t="shared" si="0"/>
        <v>Добавить группу потребителей</v>
      </c>
      <c r="AB28" s="437"/>
      <c r="AC28" s="437"/>
      <c r="AD28" s="1074">
        <v>15</v>
      </c>
    </row>
    <row r="29" spans="1:30" ht="14.65" customHeight="1">
      <c r="A29" s="1282" t="s">
        <v>168</v>
      </c>
      <c r="B29" s="1282" t="s">
        <v>169</v>
      </c>
      <c r="C29" s="1282" t="s">
        <v>170</v>
      </c>
      <c r="D29" s="1282" t="s">
        <v>171</v>
      </c>
      <c r="E29" s="1282"/>
      <c r="F29" s="1284"/>
      <c r="G29" s="1284"/>
      <c r="H29" s="474"/>
      <c r="I29" s="297"/>
      <c r="J29" s="312"/>
      <c r="K29" s="292"/>
      <c r="L29" s="1197"/>
      <c r="M29" s="302" t="s">
        <v>411</v>
      </c>
      <c r="N29" s="304"/>
      <c r="O29" s="304"/>
      <c r="P29" s="304"/>
      <c r="Q29" s="304"/>
      <c r="R29" s="304"/>
      <c r="S29" s="304"/>
      <c r="T29" s="304"/>
      <c r="U29" s="304"/>
      <c r="V29" s="303"/>
      <c r="W29" s="304"/>
      <c r="X29" s="240"/>
      <c r="Z29" s="437"/>
      <c r="AA29" s="437" t="str">
        <f t="shared" si="0"/>
        <v>Добавить схему подключения</v>
      </c>
      <c r="AB29" s="437"/>
      <c r="AC29" s="437"/>
      <c r="AD29" s="1074">
        <v>14</v>
      </c>
    </row>
    <row r="30" spans="1:30" ht="14.65" customHeight="1">
      <c r="A30" s="1282" t="s">
        <v>168</v>
      </c>
      <c r="B30" s="1282" t="s">
        <v>169</v>
      </c>
      <c r="C30" s="1282" t="s">
        <v>170</v>
      </c>
      <c r="D30" s="1282"/>
      <c r="E30" s="1282" t="s">
        <v>587</v>
      </c>
      <c r="F30" s="1284"/>
      <c r="G30" s="1284"/>
      <c r="H30" s="474"/>
      <c r="I30" s="297"/>
      <c r="J30" s="312"/>
      <c r="K30" s="292"/>
      <c r="L30" s="1198"/>
      <c r="M30" s="1187"/>
      <c r="N30" s="1188"/>
      <c r="O30" s="1188"/>
      <c r="P30" s="1188"/>
      <c r="Q30" s="1188"/>
      <c r="R30" s="1188"/>
      <c r="S30" s="1188"/>
      <c r="T30" s="1188"/>
      <c r="U30" s="1188"/>
      <c r="V30" s="1189"/>
      <c r="W30" s="1188"/>
      <c r="X30" s="1190"/>
      <c r="Z30" s="437"/>
      <c r="AA30" s="437" t="str">
        <f t="shared" si="0"/>
        <v/>
      </c>
      <c r="AB30" s="437"/>
      <c r="AC30" s="437"/>
      <c r="AD30" s="1074">
        <v>14</v>
      </c>
    </row>
    <row r="31" spans="1:30" ht="14.65" customHeight="1">
      <c r="A31" s="1282" t="s">
        <v>168</v>
      </c>
      <c r="B31" s="1282" t="s">
        <v>169</v>
      </c>
      <c r="C31" s="1282"/>
      <c r="D31" s="1282"/>
      <c r="E31" s="1282" t="s">
        <v>2252</v>
      </c>
      <c r="F31" s="1436"/>
      <c r="G31" s="1436"/>
      <c r="H31" s="474"/>
      <c r="I31" s="295"/>
      <c r="J31" s="312"/>
      <c r="K31" s="296"/>
      <c r="L31" s="1198"/>
      <c r="M31" s="1191"/>
      <c r="N31" s="1188"/>
      <c r="O31" s="1188"/>
      <c r="P31" s="1188"/>
      <c r="Q31" s="1188"/>
      <c r="R31" s="1188"/>
      <c r="S31" s="1188"/>
      <c r="T31" s="1188"/>
      <c r="U31" s="1188"/>
      <c r="V31" s="1189"/>
      <c r="W31" s="1188"/>
      <c r="X31" s="1190"/>
      <c r="Z31" s="437"/>
      <c r="AA31" s="437" t="str">
        <f t="shared" si="0"/>
        <v/>
      </c>
      <c r="AB31" s="437"/>
      <c r="AC31" s="437"/>
      <c r="AD31" s="1074">
        <v>14</v>
      </c>
    </row>
    <row r="32" spans="1:30" ht="14.65" customHeight="1">
      <c r="A32" s="1282" t="s">
        <v>2253</v>
      </c>
      <c r="B32" s="1282"/>
      <c r="C32" s="1282"/>
      <c r="D32" s="1282"/>
      <c r="E32" s="1282" t="s">
        <v>103</v>
      </c>
      <c r="F32" s="1436"/>
      <c r="G32" s="1436"/>
      <c r="H32" s="474"/>
      <c r="I32" s="297"/>
      <c r="J32" s="312"/>
      <c r="K32" s="292"/>
      <c r="L32" s="1198"/>
      <c r="M32" s="1192"/>
      <c r="N32" s="1188"/>
      <c r="O32" s="1188"/>
      <c r="P32" s="1188"/>
      <c r="Q32" s="1188"/>
      <c r="R32" s="1188"/>
      <c r="S32" s="1188"/>
      <c r="T32" s="1188"/>
      <c r="U32" s="1188"/>
      <c r="V32" s="1189"/>
      <c r="W32" s="1188"/>
      <c r="X32" s="1190"/>
      <c r="Z32" s="437"/>
      <c r="AA32" s="437" t="str">
        <f t="shared" si="0"/>
        <v/>
      </c>
      <c r="AB32" s="437"/>
      <c r="AC32" s="437"/>
      <c r="AD32" s="1074">
        <v>14</v>
      </c>
    </row>
    <row r="33" spans="1:30" s="2248" customFormat="1" ht="11.45" customHeight="1">
      <c r="A33" s="1282"/>
      <c r="B33" s="1282"/>
      <c r="C33" s="1282"/>
      <c r="D33" s="1282"/>
      <c r="E33" s="1282" t="s">
        <v>446</v>
      </c>
      <c r="F33" s="1437"/>
      <c r="G33" s="1438"/>
      <c r="H33" s="474"/>
      <c r="L33" s="1199"/>
      <c r="M33" s="1193"/>
      <c r="N33" s="1188"/>
      <c r="O33" s="1188"/>
      <c r="P33" s="1188"/>
      <c r="Q33" s="1188"/>
      <c r="R33" s="1188"/>
      <c r="S33" s="1188"/>
      <c r="T33" s="1188"/>
      <c r="U33" s="1188"/>
      <c r="V33" s="1189"/>
      <c r="W33" s="1188"/>
      <c r="X33" s="1190"/>
      <c r="Y33" s="316"/>
      <c r="Z33" s="316"/>
      <c r="AA33" s="316"/>
      <c r="AB33" s="316"/>
      <c r="AC33" s="316"/>
      <c r="AD33" s="310">
        <v>11</v>
      </c>
    </row>
    <row r="34" spans="1:30" ht="11.45" customHeight="1">
      <c r="F34" s="1079"/>
      <c r="G34" s="1079"/>
      <c r="H34" s="474"/>
      <c r="I34" s="1074"/>
      <c r="J34" s="1074"/>
      <c r="K34" s="1074"/>
      <c r="Y34" s="1074"/>
      <c r="Z34" s="1074"/>
      <c r="AA34" s="1074"/>
      <c r="AB34" s="1074"/>
      <c r="AC34" s="1074"/>
      <c r="AD34" s="1074">
        <v>11</v>
      </c>
    </row>
    <row r="35" spans="1:30" ht="28.5" customHeight="1">
      <c r="H35" s="474"/>
      <c r="L35" s="1207" t="s">
        <v>804</v>
      </c>
      <c r="M35" s="2503" t="s">
        <v>2254</v>
      </c>
      <c r="N35" s="2503"/>
      <c r="O35" s="2503"/>
      <c r="P35" s="2503"/>
      <c r="Q35" s="2503"/>
      <c r="R35" s="2503"/>
      <c r="S35" s="2503"/>
      <c r="T35" s="2503"/>
      <c r="U35" s="2503"/>
      <c r="V35" s="2503"/>
      <c r="W35" s="2503"/>
      <c r="X35" s="2503"/>
      <c r="AD35" s="1074">
        <v>27</v>
      </c>
    </row>
    <row r="36" spans="1:30" ht="109.15" customHeight="1">
      <c r="H36" s="474"/>
      <c r="I36" s="1222"/>
      <c r="M36" s="2503" t="s">
        <v>2255</v>
      </c>
      <c r="N36" s="2503"/>
      <c r="O36" s="2503"/>
      <c r="P36" s="2503"/>
      <c r="Q36" s="2503"/>
      <c r="R36" s="2503"/>
      <c r="S36" s="2503"/>
      <c r="T36" s="2503"/>
      <c r="U36" s="2503"/>
      <c r="V36" s="2503"/>
      <c r="W36" s="2503"/>
      <c r="X36" s="2503"/>
      <c r="AD36" s="1074">
        <v>104</v>
      </c>
    </row>
    <row r="37" spans="1:30" ht="14.65" customHeight="1">
      <c r="H37" s="474"/>
      <c r="AD37" s="1074">
        <v>14</v>
      </c>
    </row>
    <row r="38" spans="1:30" ht="14.65" customHeight="1">
      <c r="H38" s="474"/>
      <c r="AD38" s="1074">
        <v>14</v>
      </c>
    </row>
    <row r="39" spans="1:30" ht="14.65" customHeight="1">
      <c r="H39" s="474"/>
      <c r="AD39" s="1074">
        <v>14</v>
      </c>
    </row>
    <row r="40" spans="1:30" ht="14.65" customHeight="1">
      <c r="H40" s="474"/>
      <c r="AD40" s="1074">
        <v>14</v>
      </c>
    </row>
    <row r="41" spans="1:30" ht="22.5" hidden="1" customHeight="1">
      <c r="A41" s="1079" t="s">
        <v>81</v>
      </c>
      <c r="B41" s="1079">
        <v>0</v>
      </c>
      <c r="C41" s="1079">
        <v>0</v>
      </c>
      <c r="D41" s="1079">
        <v>0</v>
      </c>
      <c r="E41" s="1079">
        <v>0</v>
      </c>
      <c r="F41" s="1281">
        <v>0</v>
      </c>
      <c r="G41" s="1281">
        <v>0</v>
      </c>
      <c r="H41" s="1281">
        <v>0</v>
      </c>
      <c r="I41" s="1205">
        <v>3</v>
      </c>
      <c r="J41" s="281">
        <v>3</v>
      </c>
      <c r="K41" s="281">
        <v>3</v>
      </c>
      <c r="L41" s="518">
        <v>12</v>
      </c>
      <c r="M41" s="1074">
        <v>31</v>
      </c>
      <c r="N41" s="1074">
        <v>1</v>
      </c>
      <c r="O41" s="1074">
        <v>24</v>
      </c>
      <c r="P41" s="1074">
        <v>24</v>
      </c>
      <c r="Q41" s="1074">
        <v>24</v>
      </c>
      <c r="R41" s="1074">
        <v>24</v>
      </c>
      <c r="S41" s="1074">
        <v>11</v>
      </c>
      <c r="T41" s="1074">
        <v>3</v>
      </c>
      <c r="U41" s="1074">
        <v>11</v>
      </c>
      <c r="V41" s="1074">
        <v>8</v>
      </c>
      <c r="W41" s="1074">
        <v>4</v>
      </c>
      <c r="X41" s="1074">
        <v>115</v>
      </c>
      <c r="Y41" s="448">
        <v>10</v>
      </c>
      <c r="Z41" s="448">
        <v>10</v>
      </c>
      <c r="AA41" s="448">
        <v>10</v>
      </c>
      <c r="AB41" s="448">
        <v>10</v>
      </c>
      <c r="AC41" s="448">
        <v>10</v>
      </c>
      <c r="AD41" s="1074">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2265" hidden="1" customWidth="1"/>
    <col min="2" max="2" width="15" style="2263" hidden="1" customWidth="1"/>
    <col min="3" max="3" width="3" style="2266" customWidth="1"/>
    <col min="4" max="4" width="6" style="2267" customWidth="1"/>
    <col min="5" max="5" width="52" style="2266" customWidth="1"/>
    <col min="6" max="6" width="48" style="2266" customWidth="1"/>
    <col min="7" max="7" width="121" style="2266" customWidth="1"/>
    <col min="8" max="8" width="8" style="2266" customWidth="1"/>
    <col min="9" max="9" width="64" style="2266" customWidth="1"/>
    <col min="10" max="10" width="9.140625" style="2266" hidden="1"/>
  </cols>
  <sheetData>
    <row r="1" spans="1:10" ht="11.25" hidden="1" customHeight="1">
      <c r="A1" s="1605" t="s">
        <v>297</v>
      </c>
      <c r="J1" s="392" t="s">
        <v>14</v>
      </c>
    </row>
    <row r="2" spans="1:10" ht="11.25" hidden="1" customHeight="1">
      <c r="J2" s="392">
        <v>0</v>
      </c>
    </row>
    <row r="3" spans="1:10" s="2262" customFormat="1" ht="11.45" customHeight="1">
      <c r="A3" s="1605"/>
      <c r="B3" s="438"/>
      <c r="D3" s="415"/>
      <c r="J3" s="414">
        <v>11</v>
      </c>
    </row>
    <row r="4" spans="1:10" ht="27.4" customHeight="1">
      <c r="D4" s="2393" t="str">
        <f>ORG_INFO_NAME_FORM</f>
        <v>Форма 1. Информация об организации, осуществляющей водоотведение (общая информация)</v>
      </c>
      <c r="E4" s="2394"/>
      <c r="F4" s="2395"/>
      <c r="I4" s="652"/>
      <c r="J4" s="392">
        <v>26</v>
      </c>
    </row>
    <row r="5" spans="1:10" ht="18" customHeight="1">
      <c r="D5" s="2412" t="str">
        <f>IF(org=0,"Не определено",org)</f>
        <v>МУП "Водоканал"</v>
      </c>
      <c r="E5" s="2412"/>
      <c r="F5" s="2412"/>
      <c r="I5" s="652"/>
      <c r="J5" s="392">
        <v>17</v>
      </c>
    </row>
    <row r="6" spans="1:10" s="2262" customFormat="1" ht="11.45" customHeight="1">
      <c r="A6" s="1605"/>
      <c r="B6" s="438"/>
      <c r="D6" s="651"/>
      <c r="E6" s="651"/>
      <c r="F6" s="689"/>
      <c r="G6" s="651"/>
      <c r="J6" s="414">
        <v>11</v>
      </c>
    </row>
    <row r="7" spans="1:10" ht="11.25" hidden="1" customHeight="1">
      <c r="A7" s="394"/>
      <c r="B7" s="439"/>
      <c r="C7" s="394"/>
      <c r="D7" s="400"/>
      <c r="E7" s="2440"/>
      <c r="F7" s="2440"/>
      <c r="J7" s="392">
        <v>0</v>
      </c>
    </row>
    <row r="8" spans="1:10" ht="11.45" customHeight="1">
      <c r="A8" s="394"/>
      <c r="B8" s="439"/>
      <c r="C8" s="394"/>
      <c r="D8" s="2437" t="s">
        <v>298</v>
      </c>
      <c r="E8" s="2438"/>
      <c r="F8" s="2438"/>
      <c r="G8" s="2441" t="s">
        <v>299</v>
      </c>
      <c r="J8" s="392">
        <v>11</v>
      </c>
    </row>
    <row r="9" spans="1:10" ht="11.45" customHeight="1">
      <c r="A9" s="394"/>
      <c r="B9" s="439"/>
      <c r="C9" s="394"/>
      <c r="D9" s="409" t="s">
        <v>87</v>
      </c>
      <c r="E9" s="383" t="s">
        <v>300</v>
      </c>
      <c r="F9" s="383" t="s">
        <v>301</v>
      </c>
      <c r="G9" s="2442"/>
      <c r="J9" s="392">
        <v>11</v>
      </c>
    </row>
    <row r="10" spans="1:10" ht="12" hidden="1" customHeight="1">
      <c r="A10" s="394"/>
      <c r="B10" s="439"/>
      <c r="C10" s="394"/>
      <c r="D10" s="401"/>
      <c r="E10" s="401"/>
      <c r="F10" s="401"/>
      <c r="G10" s="401"/>
      <c r="J10" s="392">
        <v>0</v>
      </c>
    </row>
    <row r="11" spans="1:10" ht="22.5" hidden="1" customHeight="1">
      <c r="A11" s="394"/>
      <c r="B11" s="439"/>
      <c r="C11" s="394"/>
      <c r="D11" s="933" t="s">
        <v>108</v>
      </c>
      <c r="E11" s="936" t="s">
        <v>302</v>
      </c>
      <c r="F11" s="935" t="str">
        <f>IF(region_name="","",region_name)</f>
        <v>Республика Марий Эл</v>
      </c>
      <c r="G11" s="936" t="s">
        <v>303</v>
      </c>
      <c r="H11" s="412"/>
      <c r="J11" s="392">
        <v>0</v>
      </c>
    </row>
    <row r="12" spans="1:10" ht="22.5" hidden="1" customHeight="1">
      <c r="A12" s="394"/>
      <c r="B12" s="439"/>
      <c r="C12" s="394"/>
      <c r="D12" s="382" t="s">
        <v>108</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304</v>
      </c>
      <c r="G12" s="411"/>
      <c r="H12" s="412"/>
      <c r="J12" s="392">
        <v>0</v>
      </c>
    </row>
    <row r="13" spans="1:10" ht="23.25" customHeight="1">
      <c r="A13" s="394"/>
      <c r="B13" s="439"/>
      <c r="C13" s="394"/>
      <c r="D13" s="382" t="s">
        <v>108</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3" t="s">
        <v>305</v>
      </c>
      <c r="E14" s="934" t="s">
        <v>306</v>
      </c>
      <c r="F14" s="935" t="str">
        <f>IF(inn="","",inn)</f>
        <v>1215020390</v>
      </c>
      <c r="G14" s="936" t="s">
        <v>307</v>
      </c>
      <c r="H14" s="412"/>
      <c r="J14" s="392">
        <v>0</v>
      </c>
    </row>
    <row r="15" spans="1:10" ht="22.5" hidden="1" customHeight="1">
      <c r="A15" s="394"/>
      <c r="B15" s="439"/>
      <c r="C15" s="394"/>
      <c r="D15" s="933" t="s">
        <v>308</v>
      </c>
      <c r="E15" s="934" t="s">
        <v>309</v>
      </c>
      <c r="F15" s="935" t="str">
        <f>IF(kpp="","",kpp)</f>
        <v>121501001</v>
      </c>
      <c r="G15" s="936" t="s">
        <v>310</v>
      </c>
      <c r="H15" s="412"/>
      <c r="J15" s="392">
        <v>0</v>
      </c>
    </row>
    <row r="16" spans="1:10" ht="39" customHeight="1">
      <c r="A16" s="394"/>
      <c r="B16" s="439"/>
      <c r="C16" s="394"/>
      <c r="D16" s="382" t="s">
        <v>109</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89</v>
      </c>
      <c r="E17" s="379" t="str">
        <f>"Дата присвоения ОГРН"&amp;IF(TEMPLATE_SPHERE="TKO",""," (ОГРНИП)")</f>
        <v>Дата присвоения ОГРН (ОГРНИП)</v>
      </c>
      <c r="F17" s="1650"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90</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435" t="s">
        <v>311</v>
      </c>
      <c r="B19" s="439"/>
      <c r="C19" s="2446"/>
      <c r="D19" s="382" t="str">
        <f>A19</f>
        <v>5.1</v>
      </c>
      <c r="E19" s="379" t="s">
        <v>312</v>
      </c>
      <c r="F19" s="380" t="s">
        <v>304</v>
      </c>
      <c r="G19" s="381" t="s">
        <v>313</v>
      </c>
      <c r="H19" s="412"/>
      <c r="I19" s="779"/>
      <c r="J19" s="392">
        <v>0</v>
      </c>
    </row>
    <row r="20" spans="1:10" ht="24" hidden="1" customHeight="1">
      <c r="A20" s="2435"/>
      <c r="B20" s="439"/>
      <c r="C20" s="2446"/>
      <c r="D20" s="377" t="str">
        <f>D19&amp;".1"</f>
        <v>5.1.1</v>
      </c>
      <c r="E20" s="376" t="s">
        <v>314</v>
      </c>
      <c r="F20" s="807" t="s">
        <v>22</v>
      </c>
      <c r="G20" s="411"/>
      <c r="H20" s="412"/>
      <c r="I20" s="779"/>
      <c r="J20" s="392">
        <v>0</v>
      </c>
    </row>
    <row r="21" spans="1:10" ht="22.5" hidden="1" customHeight="1">
      <c r="A21" s="2435"/>
      <c r="B21" s="439"/>
      <c r="C21" s="2446"/>
      <c r="D21" s="377" t="str">
        <f>D19&amp;".2"</f>
        <v>5.1.2</v>
      </c>
      <c r="E21" s="376" t="s">
        <v>315</v>
      </c>
      <c r="F21" s="1651" t="s">
        <v>22</v>
      </c>
      <c r="G21" s="381" t="s">
        <v>316</v>
      </c>
      <c r="H21" s="412"/>
      <c r="I21" s="779"/>
      <c r="J21" s="392">
        <v>0</v>
      </c>
    </row>
    <row r="22" spans="1:10" ht="22.5" hidden="1" customHeight="1">
      <c r="A22" s="2435"/>
      <c r="B22" s="439"/>
      <c r="C22" s="2446"/>
      <c r="D22" s="377" t="str">
        <f>D19&amp;".3"</f>
        <v>5.1.3</v>
      </c>
      <c r="E22" s="376" t="s">
        <v>317</v>
      </c>
      <c r="F22" s="807" t="s">
        <v>22</v>
      </c>
      <c r="G22" s="411"/>
      <c r="H22" s="412"/>
      <c r="I22" s="779"/>
      <c r="J22" s="392">
        <v>0</v>
      </c>
    </row>
    <row r="23" spans="1:10" ht="22.5" hidden="1" customHeight="1">
      <c r="A23" s="2435"/>
      <c r="B23" s="439"/>
      <c r="C23" s="2446"/>
      <c r="D23" s="377" t="str">
        <f>D19&amp;".4"</f>
        <v>5.1.4</v>
      </c>
      <c r="E23" s="376" t="s">
        <v>318</v>
      </c>
      <c r="F23" s="807" t="s">
        <v>22</v>
      </c>
      <c r="G23" s="381" t="s">
        <v>319</v>
      </c>
      <c r="H23" s="412"/>
      <c r="I23" s="779"/>
      <c r="J23" s="392">
        <v>0</v>
      </c>
    </row>
    <row r="24" spans="1:10" ht="22.5" hidden="1" customHeight="1">
      <c r="A24" s="1891"/>
      <c r="B24" s="439"/>
      <c r="C24" s="429"/>
      <c r="D24" s="404"/>
      <c r="E24" s="1087" t="s">
        <v>320</v>
      </c>
      <c r="F24" s="405"/>
      <c r="G24" s="406"/>
      <c r="H24" s="412"/>
      <c r="I24" s="779"/>
      <c r="J24" s="392">
        <v>0</v>
      </c>
    </row>
    <row r="25" spans="1:10" s="2263" customFormat="1" ht="24.75" hidden="1" customHeight="1">
      <c r="A25" s="394"/>
      <c r="B25" s="439"/>
      <c r="C25" s="439"/>
      <c r="D25" s="930" t="s">
        <v>89</v>
      </c>
      <c r="E25" s="932" t="s">
        <v>321</v>
      </c>
      <c r="F25" s="937" t="s">
        <v>304</v>
      </c>
      <c r="G25" s="932"/>
      <c r="J25" s="438">
        <v>0</v>
      </c>
    </row>
    <row r="26" spans="1:10" s="2263" customFormat="1" ht="11.25" hidden="1" customHeight="1">
      <c r="A26" s="394"/>
      <c r="B26" s="439"/>
      <c r="C26" s="439"/>
      <c r="D26" s="930" t="s">
        <v>322</v>
      </c>
      <c r="E26" s="931" t="s">
        <v>323</v>
      </c>
      <c r="F26" s="937" t="s">
        <v>304</v>
      </c>
      <c r="G26" s="932"/>
      <c r="J26" s="438">
        <v>0</v>
      </c>
    </row>
    <row r="27" spans="1:10" s="2263" customFormat="1" ht="11.25" hidden="1" customHeight="1">
      <c r="A27" s="394"/>
      <c r="B27" s="439"/>
      <c r="C27" s="439"/>
      <c r="D27" s="930" t="s">
        <v>324</v>
      </c>
      <c r="E27" s="938" t="s">
        <v>325</v>
      </c>
      <c r="F27" s="939"/>
      <c r="G27" s="932"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438">
        <v>0</v>
      </c>
    </row>
    <row r="28" spans="1:10" s="2263" customFormat="1" ht="11.25" hidden="1" customHeight="1">
      <c r="A28" s="394"/>
      <c r="B28" s="439"/>
      <c r="C28" s="439"/>
      <c r="D28" s="930" t="s">
        <v>326</v>
      </c>
      <c r="E28" s="938" t="s">
        <v>327</v>
      </c>
      <c r="F28" s="939"/>
      <c r="G28" s="932"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438">
        <v>0</v>
      </c>
    </row>
    <row r="29" spans="1:10" s="2263" customFormat="1" ht="11.25" hidden="1" customHeight="1">
      <c r="A29" s="394"/>
      <c r="B29" s="439"/>
      <c r="C29" s="439"/>
      <c r="D29" s="930" t="s">
        <v>328</v>
      </c>
      <c r="E29" s="938" t="s">
        <v>329</v>
      </c>
      <c r="F29" s="939"/>
      <c r="G29" s="932"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438">
        <v>0</v>
      </c>
    </row>
    <row r="30" spans="1:10" s="2263" customFormat="1" ht="11.25" hidden="1" customHeight="1">
      <c r="A30" s="394"/>
      <c r="B30" s="439"/>
      <c r="C30" s="439"/>
      <c r="D30" s="930" t="s">
        <v>330</v>
      </c>
      <c r="E30" s="931" t="s">
        <v>331</v>
      </c>
      <c r="F30" s="939"/>
      <c r="G30" s="932"/>
      <c r="J30" s="438">
        <v>0</v>
      </c>
    </row>
    <row r="31" spans="1:10" s="2263" customFormat="1" ht="11.25" hidden="1" customHeight="1">
      <c r="A31" s="394"/>
      <c r="B31" s="439"/>
      <c r="C31" s="439"/>
      <c r="D31" s="930" t="s">
        <v>332</v>
      </c>
      <c r="E31" s="931" t="s">
        <v>333</v>
      </c>
      <c r="F31" s="939"/>
      <c r="G31" s="932"/>
      <c r="J31" s="438">
        <v>0</v>
      </c>
    </row>
    <row r="32" spans="1:10" s="2263" customFormat="1" ht="11.25" hidden="1" customHeight="1">
      <c r="A32" s="394"/>
      <c r="B32" s="439"/>
      <c r="C32" s="439"/>
      <c r="D32" s="930" t="s">
        <v>334</v>
      </c>
      <c r="E32" s="931" t="s">
        <v>335</v>
      </c>
      <c r="F32" s="940"/>
      <c r="G32" s="932"/>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304</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336</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336</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304</v>
      </c>
      <c r="G39" s="244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24"/>
      <c r="F40" s="807"/>
      <c r="G40" s="2444"/>
      <c r="H40" s="412"/>
      <c r="J40" s="392">
        <v>0</v>
      </c>
    </row>
    <row r="41" spans="1:10" ht="23.25" customHeight="1">
      <c r="A41" s="394"/>
      <c r="B41" s="394"/>
      <c r="C41" s="1607"/>
      <c r="D41" s="377" t="str">
        <f>D39&amp;".1"</f>
        <v>8.1</v>
      </c>
      <c r="E41" s="787"/>
      <c r="F41" s="788"/>
      <c r="G41" s="2444"/>
      <c r="H41" s="412"/>
      <c r="J41" s="392">
        <v>22</v>
      </c>
    </row>
    <row r="42" spans="1:10" ht="15.75" customHeight="1">
      <c r="A42" s="394"/>
      <c r="B42" s="439"/>
      <c r="C42" s="394"/>
      <c r="D42" s="404"/>
      <c r="E42" s="352" t="s">
        <v>337</v>
      </c>
      <c r="F42" s="406"/>
      <c r="G42" s="2445"/>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89"/>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338</v>
      </c>
      <c r="H44" s="412"/>
      <c r="J44" s="392">
        <v>22</v>
      </c>
    </row>
    <row r="45" spans="1:10" ht="23.25" customHeight="1">
      <c r="A45" s="394"/>
      <c r="B45" s="439"/>
      <c r="C45" s="394"/>
      <c r="D45" s="377">
        <f>D44+1</f>
        <v>11</v>
      </c>
      <c r="E45" s="375" t="s">
        <v>339</v>
      </c>
      <c r="F45" s="380" t="s">
        <v>304</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03"/>
      <c r="G46" s="374" t="s">
        <v>340</v>
      </c>
      <c r="H46" s="412"/>
      <c r="J46" s="392">
        <v>23</v>
      </c>
    </row>
    <row r="47" spans="1:10" ht="24" customHeight="1">
      <c r="A47" s="2435"/>
      <c r="B47" s="439"/>
      <c r="C47" s="429"/>
      <c r="D47" s="377" t="str">
        <f>D45&amp;".2"</f>
        <v>11.2</v>
      </c>
      <c r="E47" s="379" t="s">
        <v>341</v>
      </c>
      <c r="F47" s="427"/>
      <c r="G47" s="374" t="s">
        <v>342</v>
      </c>
      <c r="H47" s="412"/>
      <c r="J47" s="392">
        <v>23</v>
      </c>
    </row>
    <row r="48" spans="1:10" ht="24" customHeight="1">
      <c r="A48" s="2435"/>
      <c r="B48" s="439"/>
      <c r="C48" s="429"/>
      <c r="D48" s="377" t="str">
        <f>D45&amp;".3"</f>
        <v>11.3</v>
      </c>
      <c r="E48" s="379" t="s">
        <v>343</v>
      </c>
      <c r="F48" s="427"/>
      <c r="G48" s="374" t="s">
        <v>344</v>
      </c>
      <c r="H48" s="412"/>
      <c r="J48" s="392">
        <v>23</v>
      </c>
    </row>
    <row r="49" spans="1:10" ht="24" customHeight="1">
      <c r="A49" s="2435"/>
      <c r="B49" s="439"/>
      <c r="C49" s="429"/>
      <c r="D49" s="377" t="str">
        <f>IF(TEMPLATE_SPHERE="TKO",D45&amp;".0",D45&amp;".4")</f>
        <v>11.4</v>
      </c>
      <c r="E49" s="373" t="s">
        <v>345</v>
      </c>
      <c r="F49" s="1604"/>
      <c r="G49" s="1680" t="s">
        <v>346</v>
      </c>
      <c r="H49" s="412"/>
      <c r="J49" s="392">
        <v>23</v>
      </c>
    </row>
    <row r="50" spans="1:10" ht="24" customHeight="1">
      <c r="A50" s="394"/>
      <c r="B50" s="439"/>
      <c r="C50" s="394"/>
      <c r="D50" s="404"/>
      <c r="E50" s="352" t="s">
        <v>347</v>
      </c>
      <c r="F50" s="405"/>
      <c r="G50" s="1680" t="s">
        <v>348</v>
      </c>
      <c r="H50" s="413"/>
      <c r="J50" s="392">
        <v>23</v>
      </c>
    </row>
    <row r="51" spans="1:10" ht="24" customHeight="1">
      <c r="A51" s="785"/>
      <c r="B51" s="439"/>
      <c r="C51" s="429"/>
      <c r="D51" s="377">
        <f>D45+1</f>
        <v>12</v>
      </c>
      <c r="E51" s="465" t="s">
        <v>349</v>
      </c>
      <c r="F51" s="427"/>
      <c r="G51" s="16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2264" customFormat="1" ht="31.5" customHeight="1">
      <c r="A53" s="1606"/>
      <c r="B53" s="440"/>
      <c r="C53" s="2436"/>
      <c r="D53" s="243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439"/>
      <c r="F53" s="2439"/>
      <c r="G53" s="2439"/>
      <c r="H53" s="391"/>
      <c r="I53" s="391"/>
      <c r="J53" s="397">
        <v>30</v>
      </c>
    </row>
    <row r="54" spans="1:10" s="2264" customFormat="1" ht="42" customHeight="1">
      <c r="A54" s="394"/>
      <c r="B54" s="439"/>
      <c r="C54" s="2436"/>
      <c r="D54" s="2439"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439"/>
      <c r="F54" s="2439"/>
      <c r="G54" s="2439"/>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05" t="s">
        <v>81</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313" customWidth="1"/>
    <col min="2" max="2" width="8.7109375" style="2313" customWidth="1"/>
    <col min="3" max="3" width="18.140625" style="2313" customWidth="1"/>
    <col min="4" max="4" width="12.5703125" style="2313" customWidth="1"/>
  </cols>
  <sheetData>
    <row r="1" spans="1:5" ht="11.25" customHeight="1">
      <c r="A1" s="1991" t="s">
        <v>2256</v>
      </c>
      <c r="B1" s="1992" t="s">
        <v>2257</v>
      </c>
      <c r="C1" s="2769" t="s">
        <v>2258</v>
      </c>
      <c r="D1" s="2770"/>
      <c r="E1" s="767" t="s">
        <v>2259</v>
      </c>
    </row>
    <row r="2" spans="1:5" ht="11.25" customHeight="1">
      <c r="A2" s="1993"/>
      <c r="B2" s="700" t="s">
        <v>27</v>
      </c>
      <c r="C2" s="690"/>
      <c r="D2" s="699"/>
      <c r="E2" s="767"/>
    </row>
    <row r="3" spans="1:5" ht="11.25" customHeight="1">
      <c r="A3" s="1994"/>
      <c r="B3" s="1995" t="s">
        <v>33</v>
      </c>
      <c r="C3" s="690"/>
      <c r="D3" s="699"/>
      <c r="E3" s="767"/>
    </row>
    <row r="4" spans="1:5" ht="11.25" customHeight="1">
      <c r="A4" s="1996"/>
      <c r="B4" s="701" t="s">
        <v>1689</v>
      </c>
      <c r="C4" s="690"/>
      <c r="D4" s="699"/>
      <c r="E4" s="767"/>
    </row>
    <row r="5" spans="1:5" ht="11.25" customHeight="1">
      <c r="A5" s="1997"/>
      <c r="B5" s="701" t="s">
        <v>1684</v>
      </c>
      <c r="C5" s="1998" t="s">
        <v>2023</v>
      </c>
      <c r="D5" s="1999" t="s">
        <v>2260</v>
      </c>
      <c r="E5" s="767"/>
    </row>
    <row r="6" spans="1:5" s="2248" customFormat="1" ht="11.25" customHeight="1">
      <c r="A6" s="2000"/>
      <c r="B6" s="701" t="s">
        <v>1693</v>
      </c>
      <c r="C6" s="690"/>
      <c r="D6" s="699"/>
      <c r="E6" s="767"/>
    </row>
    <row r="7" spans="1:5" ht="11.25" customHeight="1">
      <c r="A7" s="2001"/>
      <c r="B7" s="701" t="s">
        <v>1701</v>
      </c>
      <c r="C7" s="690"/>
      <c r="D7" s="699"/>
      <c r="E7" s="767"/>
    </row>
    <row r="8" spans="1:5" ht="11.25" customHeight="1">
      <c r="A8" s="692"/>
      <c r="B8" s="701" t="s">
        <v>1696</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53"/>
  <sheetViews>
    <sheetView showGridLines="0" workbookViewId="0"/>
  </sheetViews>
  <sheetFormatPr defaultColWidth="9.140625" defaultRowHeight="11.25" customHeight="1"/>
  <cols>
    <col min="1" max="2" width="9.140625" style="2248"/>
    <col min="3" max="3" width="20.7109375" style="2248" customWidth="1"/>
    <col min="4" max="4" width="25.140625" style="2248" customWidth="1"/>
    <col min="5" max="9" width="9.140625" style="2248"/>
  </cols>
  <sheetData>
    <row r="1" spans="1:9" ht="11.25" customHeight="1">
      <c r="A1" s="8" t="s">
        <v>2261</v>
      </c>
      <c r="B1" s="8" t="s">
        <v>2262</v>
      </c>
      <c r="C1" s="8" t="s">
        <v>2263</v>
      </c>
      <c r="D1" s="8" t="s">
        <v>2264</v>
      </c>
      <c r="E1" s="8" t="s">
        <v>2265</v>
      </c>
      <c r="F1" s="8" t="s">
        <v>2266</v>
      </c>
      <c r="G1" s="8" t="s">
        <v>2267</v>
      </c>
      <c r="H1" s="8" t="s">
        <v>2268</v>
      </c>
      <c r="I1" s="8" t="s">
        <v>2269</v>
      </c>
    </row>
    <row r="2" spans="1:9" ht="11.25" customHeight="1">
      <c r="A2" s="2033" t="s">
        <v>2270</v>
      </c>
      <c r="B2" s="2033" t="s">
        <v>16</v>
      </c>
      <c r="C2" s="2033" t="s">
        <v>2271</v>
      </c>
      <c r="D2" s="2033" t="s">
        <v>2272</v>
      </c>
      <c r="E2" s="2033" t="s">
        <v>2273</v>
      </c>
      <c r="F2" s="2033" t="s">
        <v>2274</v>
      </c>
      <c r="G2" s="2033" t="s">
        <v>22</v>
      </c>
      <c r="H2" s="2033" t="s">
        <v>22</v>
      </c>
      <c r="I2" s="2033" t="s">
        <v>808</v>
      </c>
    </row>
    <row r="3" spans="1:9" ht="11.25" customHeight="1">
      <c r="A3" s="2033" t="s">
        <v>2270</v>
      </c>
      <c r="B3" s="2033" t="s">
        <v>16</v>
      </c>
      <c r="C3" s="2033" t="s">
        <v>2275</v>
      </c>
      <c r="D3" s="2033" t="s">
        <v>2272</v>
      </c>
      <c r="E3" s="2033" t="s">
        <v>2273</v>
      </c>
      <c r="F3" s="2033" t="s">
        <v>2276</v>
      </c>
      <c r="G3" s="2033" t="s">
        <v>22</v>
      </c>
      <c r="H3" s="2033" t="s">
        <v>22</v>
      </c>
      <c r="I3" s="2033" t="s">
        <v>808</v>
      </c>
    </row>
    <row r="4" spans="1:9" ht="11.25" customHeight="1">
      <c r="A4" s="2033" t="s">
        <v>2270</v>
      </c>
      <c r="B4" s="2033" t="s">
        <v>16</v>
      </c>
      <c r="C4" s="2033" t="s">
        <v>2277</v>
      </c>
      <c r="D4" s="2033" t="s">
        <v>2278</v>
      </c>
      <c r="E4" s="2033" t="s">
        <v>2279</v>
      </c>
      <c r="F4" s="2033" t="s">
        <v>50</v>
      </c>
      <c r="G4" s="2033" t="s">
        <v>22</v>
      </c>
      <c r="H4" s="2033" t="s">
        <v>22</v>
      </c>
      <c r="I4" s="2033" t="s">
        <v>808</v>
      </c>
    </row>
    <row r="5" spans="1:9" ht="11.25" customHeight="1">
      <c r="A5" s="2033" t="s">
        <v>2270</v>
      </c>
      <c r="B5" s="2033" t="s">
        <v>16</v>
      </c>
      <c r="C5" s="2033" t="s">
        <v>2280</v>
      </c>
      <c r="D5" s="2033" t="s">
        <v>2281</v>
      </c>
      <c r="E5" s="2033" t="s">
        <v>2282</v>
      </c>
      <c r="F5" s="2033" t="s">
        <v>2283</v>
      </c>
      <c r="G5" s="2033" t="s">
        <v>22</v>
      </c>
      <c r="H5" s="2033" t="s">
        <v>22</v>
      </c>
      <c r="I5" s="2033" t="s">
        <v>808</v>
      </c>
    </row>
    <row r="6" spans="1:9" ht="11.25" customHeight="1">
      <c r="A6" s="2033" t="s">
        <v>2270</v>
      </c>
      <c r="B6" s="2033" t="s">
        <v>16</v>
      </c>
      <c r="C6" s="2033" t="s">
        <v>2284</v>
      </c>
      <c r="D6" s="2033" t="s">
        <v>2285</v>
      </c>
      <c r="E6" s="2033" t="s">
        <v>2286</v>
      </c>
      <c r="F6" s="2033" t="s">
        <v>2287</v>
      </c>
      <c r="G6" s="2033" t="s">
        <v>2288</v>
      </c>
      <c r="H6" s="2033" t="s">
        <v>22</v>
      </c>
      <c r="I6" s="2033" t="s">
        <v>808</v>
      </c>
    </row>
    <row r="7" spans="1:9" ht="11.25" customHeight="1">
      <c r="A7" s="2033" t="s">
        <v>2270</v>
      </c>
      <c r="B7" s="2033" t="s">
        <v>16</v>
      </c>
      <c r="C7" s="2033" t="s">
        <v>2289</v>
      </c>
      <c r="D7" s="2033" t="s">
        <v>2290</v>
      </c>
      <c r="E7" s="2033" t="s">
        <v>2291</v>
      </c>
      <c r="F7" s="2033" t="s">
        <v>50</v>
      </c>
      <c r="G7" s="2033" t="s">
        <v>22</v>
      </c>
      <c r="H7" s="2033" t="s">
        <v>2292</v>
      </c>
      <c r="I7" s="2033" t="s">
        <v>808</v>
      </c>
    </row>
    <row r="8" spans="1:9" ht="11.25" customHeight="1">
      <c r="A8" s="2033" t="s">
        <v>2270</v>
      </c>
      <c r="B8" s="2033" t="s">
        <v>16</v>
      </c>
      <c r="C8" s="2033" t="s">
        <v>2293</v>
      </c>
      <c r="D8" s="2033" t="s">
        <v>2294</v>
      </c>
      <c r="E8" s="2033" t="s">
        <v>2295</v>
      </c>
      <c r="F8" s="2033" t="s">
        <v>2296</v>
      </c>
      <c r="G8" s="2033" t="s">
        <v>22</v>
      </c>
      <c r="H8" s="2033" t="s">
        <v>22</v>
      </c>
      <c r="I8" s="2033" t="s">
        <v>808</v>
      </c>
    </row>
    <row r="9" spans="1:9" ht="11.25" customHeight="1">
      <c r="A9" s="2033" t="s">
        <v>2270</v>
      </c>
      <c r="B9" s="2033" t="s">
        <v>16</v>
      </c>
      <c r="C9" s="2033" t="s">
        <v>2297</v>
      </c>
      <c r="D9" s="2033" t="s">
        <v>2298</v>
      </c>
      <c r="E9" s="2033" t="s">
        <v>2299</v>
      </c>
      <c r="F9" s="2033" t="s">
        <v>2296</v>
      </c>
      <c r="G9" s="2033" t="s">
        <v>2300</v>
      </c>
      <c r="H9" s="2033" t="s">
        <v>2288</v>
      </c>
      <c r="I9" s="2033" t="s">
        <v>808</v>
      </c>
    </row>
    <row r="10" spans="1:9" ht="11.25" customHeight="1">
      <c r="A10" s="2033" t="s">
        <v>2270</v>
      </c>
      <c r="B10" s="2033" t="s">
        <v>16</v>
      </c>
      <c r="C10" s="2033" t="s">
        <v>22</v>
      </c>
      <c r="D10" s="2033" t="s">
        <v>2301</v>
      </c>
      <c r="E10" s="2033" t="s">
        <v>2302</v>
      </c>
      <c r="F10" s="2033" t="s">
        <v>50</v>
      </c>
      <c r="G10" s="2033" t="s">
        <v>22</v>
      </c>
      <c r="H10" s="2033" t="s">
        <v>22</v>
      </c>
      <c r="I10" s="2033" t="s">
        <v>808</v>
      </c>
    </row>
    <row r="11" spans="1:9" ht="11.25" customHeight="1">
      <c r="A11" s="2033" t="s">
        <v>2270</v>
      </c>
      <c r="B11" s="2033" t="s">
        <v>16</v>
      </c>
      <c r="C11" s="2033" t="s">
        <v>2303</v>
      </c>
      <c r="D11" s="2033" t="s">
        <v>2304</v>
      </c>
      <c r="E11" s="2033" t="s">
        <v>2305</v>
      </c>
      <c r="F11" s="2033" t="s">
        <v>2306</v>
      </c>
      <c r="G11" s="2033" t="s">
        <v>2307</v>
      </c>
      <c r="H11" s="2033" t="s">
        <v>22</v>
      </c>
      <c r="I11" s="2033" t="s">
        <v>808</v>
      </c>
    </row>
    <row r="12" spans="1:9" ht="11.25" customHeight="1">
      <c r="A12" s="2033" t="s">
        <v>2270</v>
      </c>
      <c r="B12" s="2033" t="s">
        <v>16</v>
      </c>
      <c r="C12" s="2033" t="s">
        <v>2308</v>
      </c>
      <c r="D12" s="2033" t="s">
        <v>2309</v>
      </c>
      <c r="E12" s="2033" t="s">
        <v>2310</v>
      </c>
      <c r="F12" s="2033" t="s">
        <v>2311</v>
      </c>
      <c r="G12" s="2033" t="s">
        <v>22</v>
      </c>
      <c r="H12" s="2033" t="s">
        <v>22</v>
      </c>
      <c r="I12" s="2033" t="s">
        <v>808</v>
      </c>
    </row>
    <row r="13" spans="1:9" ht="11.25" customHeight="1">
      <c r="A13" s="2033" t="s">
        <v>2270</v>
      </c>
      <c r="B13" s="2033" t="s">
        <v>16</v>
      </c>
      <c r="C13" s="2033" t="s">
        <v>2312</v>
      </c>
      <c r="D13" s="2033" t="s">
        <v>2313</v>
      </c>
      <c r="E13" s="2033" t="s">
        <v>2314</v>
      </c>
      <c r="F13" s="2033" t="s">
        <v>2315</v>
      </c>
      <c r="G13" s="2033" t="s">
        <v>2316</v>
      </c>
      <c r="H13" s="2033" t="s">
        <v>22</v>
      </c>
      <c r="I13" s="2033" t="s">
        <v>808</v>
      </c>
    </row>
    <row r="14" spans="1:9" ht="11.25" customHeight="1">
      <c r="A14" s="2033" t="s">
        <v>2270</v>
      </c>
      <c r="B14" s="2033" t="s">
        <v>16</v>
      </c>
      <c r="C14" s="2033" t="s">
        <v>2317</v>
      </c>
      <c r="D14" s="2033" t="s">
        <v>2318</v>
      </c>
      <c r="E14" s="2033" t="s">
        <v>2319</v>
      </c>
      <c r="F14" s="2033" t="s">
        <v>50</v>
      </c>
      <c r="G14" s="2033" t="s">
        <v>2320</v>
      </c>
      <c r="H14" s="2033" t="s">
        <v>22</v>
      </c>
      <c r="I14" s="2033" t="s">
        <v>808</v>
      </c>
    </row>
    <row r="15" spans="1:9" ht="11.25" customHeight="1">
      <c r="A15" s="2033" t="s">
        <v>2270</v>
      </c>
      <c r="B15" s="2033" t="s">
        <v>16</v>
      </c>
      <c r="C15" s="2033" t="s">
        <v>2321</v>
      </c>
      <c r="D15" s="2033" t="s">
        <v>2322</v>
      </c>
      <c r="E15" s="2033" t="s">
        <v>2323</v>
      </c>
      <c r="F15" s="2033" t="s">
        <v>2324</v>
      </c>
      <c r="G15" s="2033" t="s">
        <v>2325</v>
      </c>
      <c r="H15" s="2033" t="s">
        <v>22</v>
      </c>
      <c r="I15" s="2033" t="s">
        <v>808</v>
      </c>
    </row>
    <row r="16" spans="1:9" ht="11.25" customHeight="1">
      <c r="A16" s="2033" t="s">
        <v>2270</v>
      </c>
      <c r="B16" s="2033" t="s">
        <v>16</v>
      </c>
      <c r="C16" s="2033" t="s">
        <v>2326</v>
      </c>
      <c r="D16" s="2033" t="s">
        <v>2327</v>
      </c>
      <c r="E16" s="2033" t="s">
        <v>2328</v>
      </c>
      <c r="F16" s="2033" t="s">
        <v>50</v>
      </c>
      <c r="G16" s="2033" t="s">
        <v>2329</v>
      </c>
      <c r="H16" s="2033" t="s">
        <v>2330</v>
      </c>
      <c r="I16" s="2033" t="s">
        <v>808</v>
      </c>
    </row>
    <row r="17" spans="1:9" ht="11.25" customHeight="1">
      <c r="A17" s="2033" t="s">
        <v>2270</v>
      </c>
      <c r="B17" s="2033" t="s">
        <v>16</v>
      </c>
      <c r="C17" s="2033" t="s">
        <v>2331</v>
      </c>
      <c r="D17" s="2033" t="s">
        <v>2332</v>
      </c>
      <c r="E17" s="2033" t="s">
        <v>2333</v>
      </c>
      <c r="F17" s="2033" t="s">
        <v>2334</v>
      </c>
      <c r="G17" s="2033" t="s">
        <v>2335</v>
      </c>
      <c r="H17" s="2033" t="s">
        <v>22</v>
      </c>
      <c r="I17" s="2033" t="s">
        <v>808</v>
      </c>
    </row>
    <row r="18" spans="1:9" ht="11.25" customHeight="1">
      <c r="A18" s="2033" t="s">
        <v>2270</v>
      </c>
      <c r="B18" s="2033" t="s">
        <v>16</v>
      </c>
      <c r="C18" s="2033" t="s">
        <v>2336</v>
      </c>
      <c r="D18" s="2033" t="s">
        <v>2337</v>
      </c>
      <c r="E18" s="2033" t="s">
        <v>2338</v>
      </c>
      <c r="F18" s="2033" t="s">
        <v>2339</v>
      </c>
      <c r="G18" s="2033" t="s">
        <v>22</v>
      </c>
      <c r="H18" s="2033" t="s">
        <v>22</v>
      </c>
      <c r="I18" s="2033" t="s">
        <v>808</v>
      </c>
    </row>
    <row r="19" spans="1:9" ht="11.25" customHeight="1">
      <c r="A19" s="2033" t="s">
        <v>2270</v>
      </c>
      <c r="B19" s="2033" t="s">
        <v>16</v>
      </c>
      <c r="C19" s="2033" t="s">
        <v>2340</v>
      </c>
      <c r="D19" s="2033" t="s">
        <v>2341</v>
      </c>
      <c r="E19" s="2033" t="s">
        <v>2342</v>
      </c>
      <c r="F19" s="2033" t="s">
        <v>2343</v>
      </c>
      <c r="G19" s="2033" t="s">
        <v>2344</v>
      </c>
      <c r="H19" s="2033" t="s">
        <v>2345</v>
      </c>
      <c r="I19" s="2033" t="s">
        <v>808</v>
      </c>
    </row>
    <row r="20" spans="1:9" ht="11.25" customHeight="1">
      <c r="A20" s="2033" t="s">
        <v>2270</v>
      </c>
      <c r="B20" s="2033" t="s">
        <v>16</v>
      </c>
      <c r="C20" s="2033" t="s">
        <v>2346</v>
      </c>
      <c r="D20" s="2033" t="s">
        <v>2347</v>
      </c>
      <c r="E20" s="2033" t="s">
        <v>2348</v>
      </c>
      <c r="F20" s="2033" t="s">
        <v>50</v>
      </c>
      <c r="G20" s="2033" t="s">
        <v>2349</v>
      </c>
      <c r="H20" s="2033" t="s">
        <v>22</v>
      </c>
      <c r="I20" s="2033" t="s">
        <v>808</v>
      </c>
    </row>
    <row r="21" spans="1:9" ht="11.25" customHeight="1">
      <c r="A21" s="2033" t="s">
        <v>2270</v>
      </c>
      <c r="B21" s="2033" t="s">
        <v>16</v>
      </c>
      <c r="C21" s="2033" t="s">
        <v>2350</v>
      </c>
      <c r="D21" s="2033" t="s">
        <v>2351</v>
      </c>
      <c r="E21" s="2033" t="s">
        <v>2352</v>
      </c>
      <c r="F21" s="2033" t="s">
        <v>50</v>
      </c>
      <c r="G21" s="2033" t="s">
        <v>2353</v>
      </c>
      <c r="H21" s="2033" t="s">
        <v>22</v>
      </c>
      <c r="I21" s="2033" t="s">
        <v>808</v>
      </c>
    </row>
    <row r="22" spans="1:9" ht="11.25" customHeight="1">
      <c r="A22" s="2033" t="s">
        <v>2270</v>
      </c>
      <c r="B22" s="2033" t="s">
        <v>16</v>
      </c>
      <c r="C22" s="2033" t="s">
        <v>2354</v>
      </c>
      <c r="D22" s="2033" t="s">
        <v>2355</v>
      </c>
      <c r="E22" s="2033" t="s">
        <v>2356</v>
      </c>
      <c r="F22" s="2033" t="s">
        <v>50</v>
      </c>
      <c r="G22" s="2033" t="s">
        <v>22</v>
      </c>
      <c r="H22" s="2033" t="s">
        <v>22</v>
      </c>
      <c r="I22" s="2033" t="s">
        <v>808</v>
      </c>
    </row>
    <row r="23" spans="1:9" ht="11.25" customHeight="1">
      <c r="A23" s="2033" t="s">
        <v>2270</v>
      </c>
      <c r="B23" s="2033" t="s">
        <v>16</v>
      </c>
      <c r="C23" s="2033" t="s">
        <v>2357</v>
      </c>
      <c r="D23" s="2033" t="s">
        <v>2358</v>
      </c>
      <c r="E23" s="2033" t="s">
        <v>2359</v>
      </c>
      <c r="F23" s="2033" t="s">
        <v>2360</v>
      </c>
      <c r="G23" s="2033" t="s">
        <v>2361</v>
      </c>
      <c r="H23" s="2033" t="s">
        <v>22</v>
      </c>
      <c r="I23" s="2033" t="s">
        <v>808</v>
      </c>
    </row>
    <row r="24" spans="1:9" ht="11.25" customHeight="1">
      <c r="A24" s="2033" t="s">
        <v>2270</v>
      </c>
      <c r="B24" s="2033" t="s">
        <v>16</v>
      </c>
      <c r="C24" s="2033" t="s">
        <v>2362</v>
      </c>
      <c r="D24" s="2033" t="s">
        <v>2363</v>
      </c>
      <c r="E24" s="2033" t="s">
        <v>2364</v>
      </c>
      <c r="F24" s="2033" t="s">
        <v>50</v>
      </c>
      <c r="G24" s="2033" t="s">
        <v>2365</v>
      </c>
      <c r="H24" s="2033" t="s">
        <v>22</v>
      </c>
      <c r="I24" s="2033" t="s">
        <v>808</v>
      </c>
    </row>
    <row r="25" spans="1:9" ht="11.25" customHeight="1">
      <c r="A25" s="2033" t="s">
        <v>2270</v>
      </c>
      <c r="B25" s="2033" t="s">
        <v>16</v>
      </c>
      <c r="C25" s="2033" t="s">
        <v>2366</v>
      </c>
      <c r="D25" s="2033" t="s">
        <v>2367</v>
      </c>
      <c r="E25" s="2033" t="s">
        <v>2368</v>
      </c>
      <c r="F25" s="2033" t="s">
        <v>50</v>
      </c>
      <c r="G25" s="2033" t="s">
        <v>22</v>
      </c>
      <c r="H25" s="2033" t="s">
        <v>22</v>
      </c>
      <c r="I25" s="2033" t="s">
        <v>808</v>
      </c>
    </row>
    <row r="26" spans="1:9" ht="11.25" customHeight="1">
      <c r="A26" s="2033" t="s">
        <v>2270</v>
      </c>
      <c r="B26" s="2033" t="s">
        <v>16</v>
      </c>
      <c r="C26" s="2033" t="s">
        <v>2369</v>
      </c>
      <c r="D26" s="2033" t="s">
        <v>2370</v>
      </c>
      <c r="E26" s="2033" t="s">
        <v>2371</v>
      </c>
      <c r="F26" s="2033" t="s">
        <v>2372</v>
      </c>
      <c r="G26" s="2033" t="s">
        <v>22</v>
      </c>
      <c r="H26" s="2033" t="s">
        <v>22</v>
      </c>
      <c r="I26" s="2033" t="s">
        <v>808</v>
      </c>
    </row>
    <row r="27" spans="1:9" ht="11.25" customHeight="1">
      <c r="A27" s="2033" t="s">
        <v>2270</v>
      </c>
      <c r="B27" s="2033" t="s">
        <v>16</v>
      </c>
      <c r="C27" s="2033" t="s">
        <v>2373</v>
      </c>
      <c r="D27" s="2033" t="s">
        <v>2374</v>
      </c>
      <c r="E27" s="2033" t="s">
        <v>2375</v>
      </c>
      <c r="F27" s="2033" t="s">
        <v>2311</v>
      </c>
      <c r="G27" s="2033" t="s">
        <v>2376</v>
      </c>
      <c r="H27" s="2033" t="s">
        <v>22</v>
      </c>
      <c r="I27" s="2033" t="s">
        <v>808</v>
      </c>
    </row>
    <row r="28" spans="1:9" ht="11.25" customHeight="1">
      <c r="A28" s="2033" t="s">
        <v>2270</v>
      </c>
      <c r="B28" s="2033" t="s">
        <v>16</v>
      </c>
      <c r="C28" s="2033" t="s">
        <v>2377</v>
      </c>
      <c r="D28" s="2033" t="s">
        <v>2378</v>
      </c>
      <c r="E28" s="2033" t="s">
        <v>2379</v>
      </c>
      <c r="F28" s="2033" t="s">
        <v>50</v>
      </c>
      <c r="G28" s="2033" t="s">
        <v>2380</v>
      </c>
      <c r="H28" s="2033" t="s">
        <v>22</v>
      </c>
      <c r="I28" s="2033" t="s">
        <v>808</v>
      </c>
    </row>
    <row r="29" spans="1:9" ht="11.25" customHeight="1">
      <c r="A29" s="2033" t="s">
        <v>2270</v>
      </c>
      <c r="B29" s="2033" t="s">
        <v>16</v>
      </c>
      <c r="C29" s="2033" t="s">
        <v>2381</v>
      </c>
      <c r="D29" s="2033" t="s">
        <v>2382</v>
      </c>
      <c r="E29" s="2033" t="s">
        <v>2383</v>
      </c>
      <c r="F29" s="2033" t="s">
        <v>2384</v>
      </c>
      <c r="G29" s="2033" t="s">
        <v>22</v>
      </c>
      <c r="H29" s="2033" t="s">
        <v>22</v>
      </c>
      <c r="I29" s="2033" t="s">
        <v>808</v>
      </c>
    </row>
    <row r="30" spans="1:9" ht="11.25" customHeight="1">
      <c r="A30" s="2033" t="s">
        <v>2270</v>
      </c>
      <c r="B30" s="2033" t="s">
        <v>16</v>
      </c>
      <c r="C30" s="2033" t="s">
        <v>2385</v>
      </c>
      <c r="D30" s="2033" t="s">
        <v>2386</v>
      </c>
      <c r="E30" s="2033" t="s">
        <v>2387</v>
      </c>
      <c r="F30" s="2033" t="s">
        <v>2388</v>
      </c>
      <c r="G30" s="2033" t="s">
        <v>2389</v>
      </c>
      <c r="H30" s="2033" t="s">
        <v>22</v>
      </c>
      <c r="I30" s="2033" t="s">
        <v>808</v>
      </c>
    </row>
    <row r="31" spans="1:9" ht="11.25" customHeight="1">
      <c r="A31" s="2033" t="s">
        <v>2270</v>
      </c>
      <c r="B31" s="2033" t="s">
        <v>16</v>
      </c>
      <c r="C31" s="2033" t="s">
        <v>2390</v>
      </c>
      <c r="D31" s="2033" t="s">
        <v>2391</v>
      </c>
      <c r="E31" s="2033" t="s">
        <v>2392</v>
      </c>
      <c r="F31" s="2033" t="s">
        <v>50</v>
      </c>
      <c r="G31" s="2033" t="s">
        <v>2393</v>
      </c>
      <c r="H31" s="2033" t="s">
        <v>22</v>
      </c>
      <c r="I31" s="2033" t="s">
        <v>808</v>
      </c>
    </row>
    <row r="32" spans="1:9" ht="11.25" customHeight="1">
      <c r="A32" s="2033" t="s">
        <v>2270</v>
      </c>
      <c r="B32" s="2033" t="s">
        <v>16</v>
      </c>
      <c r="C32" s="2033" t="s">
        <v>2394</v>
      </c>
      <c r="D32" s="2033" t="s">
        <v>2395</v>
      </c>
      <c r="E32" s="2033" t="s">
        <v>2396</v>
      </c>
      <c r="F32" s="2033" t="s">
        <v>50</v>
      </c>
      <c r="G32" s="2033" t="s">
        <v>2397</v>
      </c>
      <c r="H32" s="2033" t="s">
        <v>22</v>
      </c>
      <c r="I32" s="2033" t="s">
        <v>808</v>
      </c>
    </row>
    <row r="33" spans="1:9" ht="11.25" customHeight="1">
      <c r="A33" s="2033" t="s">
        <v>2270</v>
      </c>
      <c r="B33" s="2033" t="s">
        <v>16</v>
      </c>
      <c r="C33" s="2033" t="s">
        <v>2398</v>
      </c>
      <c r="D33" s="2033" t="s">
        <v>2399</v>
      </c>
      <c r="E33" s="2033" t="s">
        <v>2400</v>
      </c>
      <c r="F33" s="2033" t="s">
        <v>2372</v>
      </c>
      <c r="G33" s="2033" t="s">
        <v>22</v>
      </c>
      <c r="H33" s="2033" t="s">
        <v>22</v>
      </c>
      <c r="I33" s="2033" t="s">
        <v>808</v>
      </c>
    </row>
    <row r="34" spans="1:9" ht="11.25" customHeight="1">
      <c r="A34" s="2033" t="s">
        <v>2270</v>
      </c>
      <c r="B34" s="2033" t="s">
        <v>16</v>
      </c>
      <c r="C34" s="2033" t="s">
        <v>2401</v>
      </c>
      <c r="D34" s="2033" t="s">
        <v>2402</v>
      </c>
      <c r="E34" s="2033" t="s">
        <v>2403</v>
      </c>
      <c r="F34" s="2033" t="s">
        <v>2296</v>
      </c>
      <c r="G34" s="2033" t="s">
        <v>22</v>
      </c>
      <c r="H34" s="2033" t="s">
        <v>22</v>
      </c>
      <c r="I34" s="2033" t="s">
        <v>808</v>
      </c>
    </row>
    <row r="35" spans="1:9" ht="11.25" customHeight="1">
      <c r="A35" s="2033" t="s">
        <v>2270</v>
      </c>
      <c r="B35" s="2033" t="s">
        <v>16</v>
      </c>
      <c r="C35" s="2033" t="s">
        <v>2404</v>
      </c>
      <c r="D35" s="2033" t="s">
        <v>2405</v>
      </c>
      <c r="E35" s="2033" t="s">
        <v>2406</v>
      </c>
      <c r="F35" s="2033" t="s">
        <v>2296</v>
      </c>
      <c r="G35" s="2033" t="s">
        <v>22</v>
      </c>
      <c r="H35" s="2033" t="s">
        <v>22</v>
      </c>
      <c r="I35" s="2033" t="s">
        <v>808</v>
      </c>
    </row>
    <row r="36" spans="1:9" ht="11.25" customHeight="1">
      <c r="A36" s="2033" t="s">
        <v>2270</v>
      </c>
      <c r="B36" s="2033" t="s">
        <v>16</v>
      </c>
      <c r="C36" s="2033" t="s">
        <v>2407</v>
      </c>
      <c r="D36" s="2033" t="s">
        <v>2408</v>
      </c>
      <c r="E36" s="2033" t="s">
        <v>2409</v>
      </c>
      <c r="F36" s="2033" t="s">
        <v>2410</v>
      </c>
      <c r="G36" s="2033" t="s">
        <v>2411</v>
      </c>
      <c r="H36" s="2033" t="s">
        <v>22</v>
      </c>
      <c r="I36" s="2033" t="s">
        <v>808</v>
      </c>
    </row>
    <row r="37" spans="1:9" ht="11.25" customHeight="1">
      <c r="A37" s="2033" t="s">
        <v>2270</v>
      </c>
      <c r="B37" s="2033" t="s">
        <v>16</v>
      </c>
      <c r="C37" s="2033" t="s">
        <v>2412</v>
      </c>
      <c r="D37" s="2033" t="s">
        <v>2413</v>
      </c>
      <c r="E37" s="2033" t="s">
        <v>2414</v>
      </c>
      <c r="F37" s="2033" t="s">
        <v>50</v>
      </c>
      <c r="G37" s="2033" t="s">
        <v>22</v>
      </c>
      <c r="H37" s="2033" t="s">
        <v>22</v>
      </c>
      <c r="I37" s="2033" t="s">
        <v>808</v>
      </c>
    </row>
    <row r="38" spans="1:9" ht="11.25" customHeight="1">
      <c r="A38" s="2033" t="s">
        <v>2270</v>
      </c>
      <c r="B38" s="2033" t="s">
        <v>16</v>
      </c>
      <c r="C38" s="2033" t="s">
        <v>2415</v>
      </c>
      <c r="D38" s="2033" t="s">
        <v>2416</v>
      </c>
      <c r="E38" s="2033" t="s">
        <v>2417</v>
      </c>
      <c r="F38" s="2033" t="s">
        <v>2418</v>
      </c>
      <c r="G38" s="2033" t="s">
        <v>2419</v>
      </c>
      <c r="H38" s="2033" t="s">
        <v>22</v>
      </c>
      <c r="I38" s="2033" t="s">
        <v>808</v>
      </c>
    </row>
    <row r="39" spans="1:9" ht="11.25" customHeight="1">
      <c r="A39" s="2033" t="s">
        <v>2270</v>
      </c>
      <c r="B39" s="2033" t="s">
        <v>16</v>
      </c>
      <c r="C39" s="2033" t="s">
        <v>2420</v>
      </c>
      <c r="D39" s="2033" t="s">
        <v>2421</v>
      </c>
      <c r="E39" s="2033" t="s">
        <v>2422</v>
      </c>
      <c r="F39" s="2033" t="s">
        <v>50</v>
      </c>
      <c r="G39" s="2033" t="s">
        <v>22</v>
      </c>
      <c r="H39" s="2033" t="s">
        <v>22</v>
      </c>
      <c r="I39" s="2033" t="s">
        <v>808</v>
      </c>
    </row>
    <row r="40" spans="1:9" ht="11.25" customHeight="1">
      <c r="A40" s="2033" t="s">
        <v>2270</v>
      </c>
      <c r="B40" s="2033" t="s">
        <v>16</v>
      </c>
      <c r="C40" s="2033" t="s">
        <v>2423</v>
      </c>
      <c r="D40" s="2033" t="s">
        <v>2424</v>
      </c>
      <c r="E40" s="2033" t="s">
        <v>2425</v>
      </c>
      <c r="F40" s="2033" t="s">
        <v>2426</v>
      </c>
      <c r="G40" s="2033" t="s">
        <v>22</v>
      </c>
      <c r="H40" s="2033" t="s">
        <v>22</v>
      </c>
      <c r="I40" s="2033" t="s">
        <v>808</v>
      </c>
    </row>
    <row r="41" spans="1:9" ht="11.25" customHeight="1">
      <c r="A41" s="2033" t="s">
        <v>2270</v>
      </c>
      <c r="B41" s="2033" t="s">
        <v>16</v>
      </c>
      <c r="C41" s="2033" t="s">
        <v>2427</v>
      </c>
      <c r="D41" s="2033" t="s">
        <v>2428</v>
      </c>
      <c r="E41" s="2033" t="s">
        <v>2429</v>
      </c>
      <c r="F41" s="2033" t="s">
        <v>2296</v>
      </c>
      <c r="G41" s="2033" t="s">
        <v>22</v>
      </c>
      <c r="H41" s="2033" t="s">
        <v>22</v>
      </c>
      <c r="I41" s="2033" t="s">
        <v>808</v>
      </c>
    </row>
    <row r="42" spans="1:9" ht="11.25" customHeight="1">
      <c r="A42" s="2033" t="s">
        <v>2270</v>
      </c>
      <c r="B42" s="2033" t="s">
        <v>16</v>
      </c>
      <c r="C42" s="2033" t="s">
        <v>2430</v>
      </c>
      <c r="D42" s="2033" t="s">
        <v>2431</v>
      </c>
      <c r="E42" s="2033" t="s">
        <v>2432</v>
      </c>
      <c r="F42" s="2033" t="s">
        <v>50</v>
      </c>
      <c r="G42" s="2033" t="s">
        <v>2433</v>
      </c>
      <c r="H42" s="2033" t="s">
        <v>22</v>
      </c>
      <c r="I42" s="2033" t="s">
        <v>808</v>
      </c>
    </row>
    <row r="43" spans="1:9" ht="11.25" customHeight="1">
      <c r="A43" s="2033" t="s">
        <v>2270</v>
      </c>
      <c r="B43" s="2033" t="s">
        <v>16</v>
      </c>
      <c r="C43" s="2033" t="s">
        <v>2434</v>
      </c>
      <c r="D43" s="2033" t="s">
        <v>2435</v>
      </c>
      <c r="E43" s="2033" t="s">
        <v>2436</v>
      </c>
      <c r="F43" s="2033" t="s">
        <v>2296</v>
      </c>
      <c r="G43" s="2033" t="s">
        <v>2437</v>
      </c>
      <c r="H43" s="2033" t="s">
        <v>22</v>
      </c>
      <c r="I43" s="2033" t="s">
        <v>808</v>
      </c>
    </row>
    <row r="44" spans="1:9" ht="11.25" customHeight="1">
      <c r="A44" s="2033" t="s">
        <v>2270</v>
      </c>
      <c r="B44" s="2033" t="s">
        <v>16</v>
      </c>
      <c r="C44" s="2033" t="s">
        <v>2438</v>
      </c>
      <c r="D44" s="2033" t="s">
        <v>2439</v>
      </c>
      <c r="E44" s="2033" t="s">
        <v>2440</v>
      </c>
      <c r="F44" s="2033" t="s">
        <v>2426</v>
      </c>
      <c r="G44" s="2033" t="s">
        <v>22</v>
      </c>
      <c r="H44" s="2033" t="s">
        <v>22</v>
      </c>
      <c r="I44" s="2033" t="s">
        <v>808</v>
      </c>
    </row>
    <row r="45" spans="1:9" ht="11.25" customHeight="1">
      <c r="A45" s="2033" t="s">
        <v>2270</v>
      </c>
      <c r="B45" s="2033" t="s">
        <v>16</v>
      </c>
      <c r="C45" s="2033" t="s">
        <v>2441</v>
      </c>
      <c r="D45" s="2033" t="s">
        <v>2442</v>
      </c>
      <c r="E45" s="2033" t="s">
        <v>2443</v>
      </c>
      <c r="F45" s="2033" t="s">
        <v>50</v>
      </c>
      <c r="G45" s="2033" t="s">
        <v>22</v>
      </c>
      <c r="H45" s="2033" t="s">
        <v>22</v>
      </c>
      <c r="I45" s="2033" t="s">
        <v>808</v>
      </c>
    </row>
    <row r="46" spans="1:9" ht="11.25" customHeight="1">
      <c r="A46" s="2033" t="s">
        <v>2270</v>
      </c>
      <c r="B46" s="2033" t="s">
        <v>16</v>
      </c>
      <c r="C46" s="2033" t="s">
        <v>2444</v>
      </c>
      <c r="D46" s="2033" t="s">
        <v>2445</v>
      </c>
      <c r="E46" s="2033" t="s">
        <v>2446</v>
      </c>
      <c r="F46" s="2033" t="s">
        <v>2447</v>
      </c>
      <c r="G46" s="2033" t="s">
        <v>22</v>
      </c>
      <c r="H46" s="2033" t="s">
        <v>22</v>
      </c>
      <c r="I46" s="2033" t="s">
        <v>808</v>
      </c>
    </row>
    <row r="47" spans="1:9" ht="11.25" customHeight="1">
      <c r="A47" s="2033" t="s">
        <v>2270</v>
      </c>
      <c r="B47" s="2033" t="s">
        <v>16</v>
      </c>
      <c r="C47" s="2033" t="s">
        <v>2448</v>
      </c>
      <c r="D47" s="2033" t="s">
        <v>2449</v>
      </c>
      <c r="E47" s="2033" t="s">
        <v>2450</v>
      </c>
      <c r="F47" s="2033" t="s">
        <v>2372</v>
      </c>
      <c r="G47" s="2033" t="s">
        <v>2451</v>
      </c>
      <c r="H47" s="2033" t="s">
        <v>22</v>
      </c>
      <c r="I47" s="2033" t="s">
        <v>808</v>
      </c>
    </row>
    <row r="48" spans="1:9" ht="11.25" customHeight="1">
      <c r="A48" s="2033" t="s">
        <v>2270</v>
      </c>
      <c r="B48" s="2033" t="s">
        <v>16</v>
      </c>
      <c r="C48" s="2033" t="s">
        <v>2452</v>
      </c>
      <c r="D48" s="2033" t="s">
        <v>2453</v>
      </c>
      <c r="E48" s="2033" t="s">
        <v>2454</v>
      </c>
      <c r="F48" s="2033" t="s">
        <v>2311</v>
      </c>
      <c r="G48" s="2033" t="s">
        <v>22</v>
      </c>
      <c r="H48" s="2033" t="s">
        <v>22</v>
      </c>
      <c r="I48" s="2033" t="s">
        <v>808</v>
      </c>
    </row>
    <row r="49" spans="1:9" ht="11.25" customHeight="1">
      <c r="A49" s="2033" t="s">
        <v>2270</v>
      </c>
      <c r="B49" s="2033" t="s">
        <v>16</v>
      </c>
      <c r="C49" s="2033" t="s">
        <v>2455</v>
      </c>
      <c r="D49" s="2033" t="s">
        <v>2456</v>
      </c>
      <c r="E49" s="2033" t="s">
        <v>2457</v>
      </c>
      <c r="F49" s="2033" t="s">
        <v>2306</v>
      </c>
      <c r="G49" s="2033" t="s">
        <v>2458</v>
      </c>
      <c r="H49" s="2033" t="s">
        <v>22</v>
      </c>
      <c r="I49" s="2033" t="s">
        <v>808</v>
      </c>
    </row>
    <row r="50" spans="1:9" ht="11.25" customHeight="1">
      <c r="A50" s="2033" t="s">
        <v>2270</v>
      </c>
      <c r="B50" s="2033" t="s">
        <v>16</v>
      </c>
      <c r="C50" s="2033" t="s">
        <v>2459</v>
      </c>
      <c r="D50" s="2033" t="s">
        <v>2460</v>
      </c>
      <c r="E50" s="2033" t="s">
        <v>2461</v>
      </c>
      <c r="F50" s="2033" t="s">
        <v>50</v>
      </c>
      <c r="G50" s="2033" t="s">
        <v>22</v>
      </c>
      <c r="H50" s="2033" t="s">
        <v>22</v>
      </c>
      <c r="I50" s="2033" t="s">
        <v>808</v>
      </c>
    </row>
    <row r="51" spans="1:9" ht="11.25" customHeight="1">
      <c r="A51" s="2033" t="s">
        <v>2270</v>
      </c>
      <c r="B51" s="2033" t="s">
        <v>16</v>
      </c>
      <c r="C51" s="2033" t="s">
        <v>2462</v>
      </c>
      <c r="D51" s="2033" t="s">
        <v>2463</v>
      </c>
      <c r="E51" s="2033" t="s">
        <v>2464</v>
      </c>
      <c r="F51" s="2033" t="s">
        <v>2465</v>
      </c>
      <c r="G51" s="2033" t="s">
        <v>22</v>
      </c>
      <c r="H51" s="2033" t="s">
        <v>22</v>
      </c>
      <c r="I51" s="2033" t="s">
        <v>808</v>
      </c>
    </row>
    <row r="52" spans="1:9" ht="11.25" customHeight="1">
      <c r="A52" s="2033" t="s">
        <v>2270</v>
      </c>
      <c r="B52" s="2033" t="s">
        <v>16</v>
      </c>
      <c r="C52" s="2033" t="s">
        <v>2466</v>
      </c>
      <c r="D52" s="2033" t="s">
        <v>2467</v>
      </c>
      <c r="E52" s="2033" t="s">
        <v>2468</v>
      </c>
      <c r="F52" s="2033" t="s">
        <v>50</v>
      </c>
      <c r="G52" s="2033" t="s">
        <v>22</v>
      </c>
      <c r="H52" s="2033" t="s">
        <v>22</v>
      </c>
      <c r="I52" s="2033" t="s">
        <v>808</v>
      </c>
    </row>
    <row r="53" spans="1:9" ht="11.25" customHeight="1">
      <c r="A53" s="2033" t="s">
        <v>2270</v>
      </c>
      <c r="B53" s="2033" t="s">
        <v>16</v>
      </c>
      <c r="C53" s="2033" t="s">
        <v>2469</v>
      </c>
      <c r="D53" s="2033" t="s">
        <v>2470</v>
      </c>
      <c r="E53" s="2033" t="s">
        <v>2471</v>
      </c>
      <c r="F53" s="2033" t="s">
        <v>50</v>
      </c>
      <c r="G53" s="2033" t="s">
        <v>2472</v>
      </c>
      <c r="H53" s="2033" t="s">
        <v>22</v>
      </c>
      <c r="I53" s="2033" t="s">
        <v>808</v>
      </c>
    </row>
    <row r="54" spans="1:9" ht="11.25" customHeight="1">
      <c r="A54" s="2033" t="s">
        <v>2270</v>
      </c>
      <c r="B54" s="2033" t="s">
        <v>16</v>
      </c>
      <c r="C54" s="2033" t="s">
        <v>2473</v>
      </c>
      <c r="D54" s="2033" t="s">
        <v>2474</v>
      </c>
      <c r="E54" s="2033" t="s">
        <v>2475</v>
      </c>
      <c r="F54" s="2033" t="s">
        <v>50</v>
      </c>
      <c r="G54" s="2033" t="s">
        <v>2476</v>
      </c>
      <c r="H54" s="2033" t="s">
        <v>22</v>
      </c>
      <c r="I54" s="2033" t="s">
        <v>808</v>
      </c>
    </row>
    <row r="55" spans="1:9" ht="11.25" customHeight="1">
      <c r="A55" s="2033" t="s">
        <v>2270</v>
      </c>
      <c r="B55" s="2033" t="s">
        <v>16</v>
      </c>
      <c r="C55" s="2033" t="s">
        <v>2477</v>
      </c>
      <c r="D55" s="2033" t="s">
        <v>2478</v>
      </c>
      <c r="E55" s="2033" t="s">
        <v>2479</v>
      </c>
      <c r="F55" s="2033" t="s">
        <v>2296</v>
      </c>
      <c r="G55" s="2033" t="s">
        <v>2480</v>
      </c>
      <c r="H55" s="2033" t="s">
        <v>22</v>
      </c>
      <c r="I55" s="2033" t="s">
        <v>808</v>
      </c>
    </row>
    <row r="56" spans="1:9" ht="11.25" customHeight="1">
      <c r="A56" s="2033" t="s">
        <v>2270</v>
      </c>
      <c r="B56" s="2033" t="s">
        <v>16</v>
      </c>
      <c r="C56" s="2033" t="s">
        <v>2481</v>
      </c>
      <c r="D56" s="2033" t="s">
        <v>2482</v>
      </c>
      <c r="E56" s="2033" t="s">
        <v>2483</v>
      </c>
      <c r="F56" s="2033" t="s">
        <v>2296</v>
      </c>
      <c r="G56" s="2033" t="s">
        <v>2484</v>
      </c>
      <c r="H56" s="2033" t="s">
        <v>22</v>
      </c>
      <c r="I56" s="2033" t="s">
        <v>808</v>
      </c>
    </row>
    <row r="57" spans="1:9" ht="11.25" customHeight="1">
      <c r="A57" s="2033" t="s">
        <v>2270</v>
      </c>
      <c r="B57" s="2033" t="s">
        <v>16</v>
      </c>
      <c r="C57" s="2033" t="s">
        <v>2485</v>
      </c>
      <c r="D57" s="2033" t="s">
        <v>2486</v>
      </c>
      <c r="E57" s="2033" t="s">
        <v>2487</v>
      </c>
      <c r="F57" s="2033" t="s">
        <v>2488</v>
      </c>
      <c r="G57" s="2033" t="s">
        <v>2489</v>
      </c>
      <c r="H57" s="2033" t="s">
        <v>22</v>
      </c>
      <c r="I57" s="2033" t="s">
        <v>808</v>
      </c>
    </row>
    <row r="58" spans="1:9" ht="11.25" customHeight="1">
      <c r="A58" s="2033" t="s">
        <v>2270</v>
      </c>
      <c r="B58" s="2033" t="s">
        <v>16</v>
      </c>
      <c r="C58" s="2033" t="s">
        <v>2490</v>
      </c>
      <c r="D58" s="2033" t="s">
        <v>2491</v>
      </c>
      <c r="E58" s="2033" t="s">
        <v>2464</v>
      </c>
      <c r="F58" s="2033" t="s">
        <v>2492</v>
      </c>
      <c r="G58" s="2033" t="s">
        <v>22</v>
      </c>
      <c r="H58" s="2033" t="s">
        <v>22</v>
      </c>
      <c r="I58" s="2033" t="s">
        <v>808</v>
      </c>
    </row>
    <row r="59" spans="1:9" ht="11.25" customHeight="1">
      <c r="A59" s="2033" t="s">
        <v>2270</v>
      </c>
      <c r="B59" s="2033" t="s">
        <v>16</v>
      </c>
      <c r="C59" s="2033" t="s">
        <v>2275</v>
      </c>
      <c r="D59" s="2033" t="s">
        <v>2272</v>
      </c>
      <c r="E59" s="2033" t="s">
        <v>2273</v>
      </c>
      <c r="F59" s="2033" t="s">
        <v>2276</v>
      </c>
      <c r="G59" s="2033" t="s">
        <v>22</v>
      </c>
      <c r="H59" s="2033" t="s">
        <v>22</v>
      </c>
      <c r="I59" s="2033" t="s">
        <v>894</v>
      </c>
    </row>
    <row r="60" spans="1:9" ht="11.25" customHeight="1">
      <c r="A60" s="2033" t="s">
        <v>2270</v>
      </c>
      <c r="B60" s="2033" t="s">
        <v>16</v>
      </c>
      <c r="C60" s="2033" t="s">
        <v>2284</v>
      </c>
      <c r="D60" s="2033" t="s">
        <v>2285</v>
      </c>
      <c r="E60" s="2033" t="s">
        <v>2286</v>
      </c>
      <c r="F60" s="2033" t="s">
        <v>2287</v>
      </c>
      <c r="G60" s="2033" t="s">
        <v>2288</v>
      </c>
      <c r="H60" s="2033" t="s">
        <v>22</v>
      </c>
      <c r="I60" s="2033" t="s">
        <v>894</v>
      </c>
    </row>
    <row r="61" spans="1:9" ht="11.25" customHeight="1">
      <c r="A61" s="2033" t="s">
        <v>2270</v>
      </c>
      <c r="B61" s="2033" t="s">
        <v>16</v>
      </c>
      <c r="C61" s="2033" t="s">
        <v>2289</v>
      </c>
      <c r="D61" s="2033" t="s">
        <v>2290</v>
      </c>
      <c r="E61" s="2033" t="s">
        <v>2291</v>
      </c>
      <c r="F61" s="2033" t="s">
        <v>50</v>
      </c>
      <c r="G61" s="2033" t="s">
        <v>22</v>
      </c>
      <c r="H61" s="2033" t="s">
        <v>2292</v>
      </c>
      <c r="I61" s="2033" t="s">
        <v>894</v>
      </c>
    </row>
    <row r="62" spans="1:9" ht="11.25" customHeight="1">
      <c r="A62" s="2033" t="s">
        <v>2270</v>
      </c>
      <c r="B62" s="2033" t="s">
        <v>16</v>
      </c>
      <c r="C62" s="2033" t="s">
        <v>2293</v>
      </c>
      <c r="D62" s="2033" t="s">
        <v>2294</v>
      </c>
      <c r="E62" s="2033" t="s">
        <v>2295</v>
      </c>
      <c r="F62" s="2033" t="s">
        <v>2296</v>
      </c>
      <c r="G62" s="2033" t="s">
        <v>22</v>
      </c>
      <c r="H62" s="2033" t="s">
        <v>22</v>
      </c>
      <c r="I62" s="2033" t="s">
        <v>894</v>
      </c>
    </row>
    <row r="63" spans="1:9" ht="11.25" customHeight="1">
      <c r="A63" s="2033" t="s">
        <v>2270</v>
      </c>
      <c r="B63" s="2033" t="s">
        <v>16</v>
      </c>
      <c r="C63" s="2033" t="s">
        <v>2297</v>
      </c>
      <c r="D63" s="2033" t="s">
        <v>2298</v>
      </c>
      <c r="E63" s="2033" t="s">
        <v>2299</v>
      </c>
      <c r="F63" s="2033" t="s">
        <v>2296</v>
      </c>
      <c r="G63" s="2033" t="s">
        <v>2300</v>
      </c>
      <c r="H63" s="2033" t="s">
        <v>2288</v>
      </c>
      <c r="I63" s="2033" t="s">
        <v>894</v>
      </c>
    </row>
    <row r="64" spans="1:9" ht="11.25" customHeight="1">
      <c r="A64" s="2033" t="s">
        <v>2270</v>
      </c>
      <c r="B64" s="2033" t="s">
        <v>16</v>
      </c>
      <c r="C64" s="2033" t="s">
        <v>22</v>
      </c>
      <c r="D64" s="2033" t="s">
        <v>2301</v>
      </c>
      <c r="E64" s="2033" t="s">
        <v>2302</v>
      </c>
      <c r="F64" s="2033" t="s">
        <v>50</v>
      </c>
      <c r="G64" s="2033" t="s">
        <v>22</v>
      </c>
      <c r="H64" s="2033" t="s">
        <v>22</v>
      </c>
      <c r="I64" s="2033" t="s">
        <v>894</v>
      </c>
    </row>
    <row r="65" spans="1:9" ht="11.25" customHeight="1">
      <c r="A65" s="2033" t="s">
        <v>2270</v>
      </c>
      <c r="B65" s="2033" t="s">
        <v>16</v>
      </c>
      <c r="C65" s="2033" t="s">
        <v>2303</v>
      </c>
      <c r="D65" s="2033" t="s">
        <v>2304</v>
      </c>
      <c r="E65" s="2033" t="s">
        <v>2305</v>
      </c>
      <c r="F65" s="2033" t="s">
        <v>2306</v>
      </c>
      <c r="G65" s="2033" t="s">
        <v>2307</v>
      </c>
      <c r="H65" s="2033" t="s">
        <v>22</v>
      </c>
      <c r="I65" s="2033" t="s">
        <v>894</v>
      </c>
    </row>
    <row r="66" spans="1:9" ht="11.25" customHeight="1">
      <c r="A66" s="2033" t="s">
        <v>2270</v>
      </c>
      <c r="B66" s="2033" t="s">
        <v>16</v>
      </c>
      <c r="C66" s="2033" t="s">
        <v>2317</v>
      </c>
      <c r="D66" s="2033" t="s">
        <v>2318</v>
      </c>
      <c r="E66" s="2033" t="s">
        <v>2319</v>
      </c>
      <c r="F66" s="2033" t="s">
        <v>50</v>
      </c>
      <c r="G66" s="2033" t="s">
        <v>2320</v>
      </c>
      <c r="H66" s="2033" t="s">
        <v>22</v>
      </c>
      <c r="I66" s="2033" t="s">
        <v>894</v>
      </c>
    </row>
    <row r="67" spans="1:9" ht="11.25" customHeight="1">
      <c r="A67" s="2033" t="s">
        <v>2270</v>
      </c>
      <c r="B67" s="2033" t="s">
        <v>16</v>
      </c>
      <c r="C67" s="2033" t="s">
        <v>2326</v>
      </c>
      <c r="D67" s="2033" t="s">
        <v>2327</v>
      </c>
      <c r="E67" s="2033" t="s">
        <v>2328</v>
      </c>
      <c r="F67" s="2033" t="s">
        <v>50</v>
      </c>
      <c r="G67" s="2033" t="s">
        <v>2329</v>
      </c>
      <c r="H67" s="2033" t="s">
        <v>2330</v>
      </c>
      <c r="I67" s="2033" t="s">
        <v>894</v>
      </c>
    </row>
    <row r="68" spans="1:9" ht="11.25" customHeight="1">
      <c r="A68" s="2033" t="s">
        <v>2270</v>
      </c>
      <c r="B68" s="2033" t="s">
        <v>16</v>
      </c>
      <c r="C68" s="2033" t="s">
        <v>2346</v>
      </c>
      <c r="D68" s="2033" t="s">
        <v>2347</v>
      </c>
      <c r="E68" s="2033" t="s">
        <v>2348</v>
      </c>
      <c r="F68" s="2033" t="s">
        <v>50</v>
      </c>
      <c r="G68" s="2033" t="s">
        <v>2349</v>
      </c>
      <c r="H68" s="2033" t="s">
        <v>22</v>
      </c>
      <c r="I68" s="2033" t="s">
        <v>894</v>
      </c>
    </row>
    <row r="69" spans="1:9" ht="11.25" customHeight="1">
      <c r="A69" s="2033" t="s">
        <v>2270</v>
      </c>
      <c r="B69" s="2033" t="s">
        <v>16</v>
      </c>
      <c r="C69" s="2033" t="s">
        <v>2357</v>
      </c>
      <c r="D69" s="2033" t="s">
        <v>2358</v>
      </c>
      <c r="E69" s="2033" t="s">
        <v>2359</v>
      </c>
      <c r="F69" s="2033" t="s">
        <v>2360</v>
      </c>
      <c r="G69" s="2033" t="s">
        <v>2361</v>
      </c>
      <c r="H69" s="2033" t="s">
        <v>22</v>
      </c>
      <c r="I69" s="2033" t="s">
        <v>894</v>
      </c>
    </row>
    <row r="70" spans="1:9" ht="11.25" customHeight="1">
      <c r="A70" s="2033" t="s">
        <v>2270</v>
      </c>
      <c r="B70" s="2033" t="s">
        <v>16</v>
      </c>
      <c r="C70" s="2033" t="s">
        <v>2362</v>
      </c>
      <c r="D70" s="2033" t="s">
        <v>2363</v>
      </c>
      <c r="E70" s="2033" t="s">
        <v>2364</v>
      </c>
      <c r="F70" s="2033" t="s">
        <v>50</v>
      </c>
      <c r="G70" s="2033" t="s">
        <v>2365</v>
      </c>
      <c r="H70" s="2033" t="s">
        <v>22</v>
      </c>
      <c r="I70" s="2033" t="s">
        <v>894</v>
      </c>
    </row>
    <row r="71" spans="1:9" ht="11.25" customHeight="1">
      <c r="A71" s="2033" t="s">
        <v>2270</v>
      </c>
      <c r="B71" s="2033" t="s">
        <v>16</v>
      </c>
      <c r="C71" s="2033" t="s">
        <v>2390</v>
      </c>
      <c r="D71" s="2033" t="s">
        <v>2391</v>
      </c>
      <c r="E71" s="2033" t="s">
        <v>2392</v>
      </c>
      <c r="F71" s="2033" t="s">
        <v>50</v>
      </c>
      <c r="G71" s="2033" t="s">
        <v>2393</v>
      </c>
      <c r="H71" s="2033" t="s">
        <v>22</v>
      </c>
      <c r="I71" s="2033" t="s">
        <v>894</v>
      </c>
    </row>
    <row r="72" spans="1:9" ht="11.25" customHeight="1">
      <c r="A72" s="2033" t="s">
        <v>2270</v>
      </c>
      <c r="B72" s="2033" t="s">
        <v>16</v>
      </c>
      <c r="C72" s="2033" t="s">
        <v>2394</v>
      </c>
      <c r="D72" s="2033" t="s">
        <v>2395</v>
      </c>
      <c r="E72" s="2033" t="s">
        <v>2396</v>
      </c>
      <c r="F72" s="2033" t="s">
        <v>50</v>
      </c>
      <c r="G72" s="2033" t="s">
        <v>2397</v>
      </c>
      <c r="H72" s="2033" t="s">
        <v>22</v>
      </c>
      <c r="I72" s="2033" t="s">
        <v>894</v>
      </c>
    </row>
    <row r="73" spans="1:9" ht="11.25" customHeight="1">
      <c r="A73" s="2033" t="s">
        <v>2270</v>
      </c>
      <c r="B73" s="2033" t="s">
        <v>16</v>
      </c>
      <c r="C73" s="2033" t="s">
        <v>2398</v>
      </c>
      <c r="D73" s="2033" t="s">
        <v>2399</v>
      </c>
      <c r="E73" s="2033" t="s">
        <v>2400</v>
      </c>
      <c r="F73" s="2033" t="s">
        <v>2372</v>
      </c>
      <c r="G73" s="2033" t="s">
        <v>22</v>
      </c>
      <c r="H73" s="2033" t="s">
        <v>22</v>
      </c>
      <c r="I73" s="2033" t="s">
        <v>894</v>
      </c>
    </row>
    <row r="74" spans="1:9" ht="11.25" customHeight="1">
      <c r="A74" s="2033" t="s">
        <v>2270</v>
      </c>
      <c r="B74" s="2033" t="s">
        <v>16</v>
      </c>
      <c r="C74" s="2033" t="s">
        <v>2401</v>
      </c>
      <c r="D74" s="2033" t="s">
        <v>2402</v>
      </c>
      <c r="E74" s="2033" t="s">
        <v>2403</v>
      </c>
      <c r="F74" s="2033" t="s">
        <v>2296</v>
      </c>
      <c r="G74" s="2033" t="s">
        <v>22</v>
      </c>
      <c r="H74" s="2033" t="s">
        <v>22</v>
      </c>
      <c r="I74" s="2033" t="s">
        <v>894</v>
      </c>
    </row>
    <row r="75" spans="1:9" ht="11.25" customHeight="1">
      <c r="A75" s="2033" t="s">
        <v>2270</v>
      </c>
      <c r="B75" s="2033" t="s">
        <v>16</v>
      </c>
      <c r="C75" s="2033" t="s">
        <v>2404</v>
      </c>
      <c r="D75" s="2033" t="s">
        <v>2405</v>
      </c>
      <c r="E75" s="2033" t="s">
        <v>2406</v>
      </c>
      <c r="F75" s="2033" t="s">
        <v>2296</v>
      </c>
      <c r="G75" s="2033" t="s">
        <v>22</v>
      </c>
      <c r="H75" s="2033" t="s">
        <v>22</v>
      </c>
      <c r="I75" s="2033" t="s">
        <v>894</v>
      </c>
    </row>
    <row r="76" spans="1:9" ht="11.25" customHeight="1">
      <c r="A76" s="2033" t="s">
        <v>2270</v>
      </c>
      <c r="B76" s="2033" t="s">
        <v>16</v>
      </c>
      <c r="C76" s="2033" t="s">
        <v>2415</v>
      </c>
      <c r="D76" s="2033" t="s">
        <v>2416</v>
      </c>
      <c r="E76" s="2033" t="s">
        <v>2417</v>
      </c>
      <c r="F76" s="2033" t="s">
        <v>2418</v>
      </c>
      <c r="G76" s="2033" t="s">
        <v>2419</v>
      </c>
      <c r="H76" s="2033" t="s">
        <v>22</v>
      </c>
      <c r="I76" s="2033" t="s">
        <v>894</v>
      </c>
    </row>
    <row r="77" spans="1:9" ht="11.25" customHeight="1">
      <c r="A77" s="2033" t="s">
        <v>2270</v>
      </c>
      <c r="B77" s="2033" t="s">
        <v>16</v>
      </c>
      <c r="C77" s="2033" t="s">
        <v>2420</v>
      </c>
      <c r="D77" s="2033" t="s">
        <v>2421</v>
      </c>
      <c r="E77" s="2033" t="s">
        <v>2422</v>
      </c>
      <c r="F77" s="2033" t="s">
        <v>50</v>
      </c>
      <c r="G77" s="2033" t="s">
        <v>22</v>
      </c>
      <c r="H77" s="2033" t="s">
        <v>22</v>
      </c>
      <c r="I77" s="2033" t="s">
        <v>894</v>
      </c>
    </row>
    <row r="78" spans="1:9" ht="11.25" customHeight="1">
      <c r="A78" s="2033" t="s">
        <v>2270</v>
      </c>
      <c r="B78" s="2033" t="s">
        <v>16</v>
      </c>
      <c r="C78" s="2033" t="s">
        <v>2427</v>
      </c>
      <c r="D78" s="2033" t="s">
        <v>2428</v>
      </c>
      <c r="E78" s="2033" t="s">
        <v>2429</v>
      </c>
      <c r="F78" s="2033" t="s">
        <v>2296</v>
      </c>
      <c r="G78" s="2033" t="s">
        <v>22</v>
      </c>
      <c r="H78" s="2033" t="s">
        <v>22</v>
      </c>
      <c r="I78" s="2033" t="s">
        <v>894</v>
      </c>
    </row>
    <row r="79" spans="1:9" ht="11.25" customHeight="1">
      <c r="A79" s="2033" t="s">
        <v>2270</v>
      </c>
      <c r="B79" s="2033" t="s">
        <v>16</v>
      </c>
      <c r="C79" s="2033" t="s">
        <v>2444</v>
      </c>
      <c r="D79" s="2033" t="s">
        <v>2445</v>
      </c>
      <c r="E79" s="2033" t="s">
        <v>2446</v>
      </c>
      <c r="F79" s="2033" t="s">
        <v>2447</v>
      </c>
      <c r="G79" s="2033" t="s">
        <v>22</v>
      </c>
      <c r="H79" s="2033" t="s">
        <v>22</v>
      </c>
      <c r="I79" s="2033" t="s">
        <v>894</v>
      </c>
    </row>
    <row r="80" spans="1:9" ht="11.25" customHeight="1">
      <c r="A80" s="2033" t="s">
        <v>2270</v>
      </c>
      <c r="B80" s="2033" t="s">
        <v>16</v>
      </c>
      <c r="C80" s="2033" t="s">
        <v>2493</v>
      </c>
      <c r="D80" s="2033" t="s">
        <v>2494</v>
      </c>
      <c r="E80" s="2033" t="s">
        <v>2446</v>
      </c>
      <c r="F80" s="2033" t="s">
        <v>2495</v>
      </c>
      <c r="G80" s="2033" t="s">
        <v>2496</v>
      </c>
      <c r="H80" s="2033" t="s">
        <v>22</v>
      </c>
      <c r="I80" s="2033" t="s">
        <v>894</v>
      </c>
    </row>
    <row r="81" spans="1:9" ht="11.25" customHeight="1">
      <c r="A81" s="2033" t="s">
        <v>2270</v>
      </c>
      <c r="B81" s="2033" t="s">
        <v>16</v>
      </c>
      <c r="C81" s="2033" t="s">
        <v>2455</v>
      </c>
      <c r="D81" s="2033" t="s">
        <v>2456</v>
      </c>
      <c r="E81" s="2033" t="s">
        <v>2457</v>
      </c>
      <c r="F81" s="2033" t="s">
        <v>2306</v>
      </c>
      <c r="G81" s="2033" t="s">
        <v>2458</v>
      </c>
      <c r="H81" s="2033" t="s">
        <v>22</v>
      </c>
      <c r="I81" s="2033" t="s">
        <v>894</v>
      </c>
    </row>
    <row r="82" spans="1:9" ht="11.25" customHeight="1">
      <c r="A82" s="2033" t="s">
        <v>2270</v>
      </c>
      <c r="B82" s="2033" t="s">
        <v>16</v>
      </c>
      <c r="C82" s="2033" t="s">
        <v>2462</v>
      </c>
      <c r="D82" s="2033" t="s">
        <v>2463</v>
      </c>
      <c r="E82" s="2033" t="s">
        <v>2464</v>
      </c>
      <c r="F82" s="2033" t="s">
        <v>2465</v>
      </c>
      <c r="G82" s="2033" t="s">
        <v>22</v>
      </c>
      <c r="H82" s="2033" t="s">
        <v>22</v>
      </c>
      <c r="I82" s="2033" t="s">
        <v>894</v>
      </c>
    </row>
    <row r="83" spans="1:9" ht="11.25" customHeight="1">
      <c r="A83" s="2033" t="s">
        <v>2270</v>
      </c>
      <c r="B83" s="2033" t="s">
        <v>16</v>
      </c>
      <c r="C83" s="2033" t="s">
        <v>2473</v>
      </c>
      <c r="D83" s="2033" t="s">
        <v>2474</v>
      </c>
      <c r="E83" s="2033" t="s">
        <v>2475</v>
      </c>
      <c r="F83" s="2033" t="s">
        <v>50</v>
      </c>
      <c r="G83" s="2033" t="s">
        <v>2476</v>
      </c>
      <c r="H83" s="2033" t="s">
        <v>22</v>
      </c>
      <c r="I83" s="2033" t="s">
        <v>894</v>
      </c>
    </row>
    <row r="84" spans="1:9" ht="11.25" customHeight="1">
      <c r="A84" s="2033" t="s">
        <v>2270</v>
      </c>
      <c r="B84" s="2033" t="s">
        <v>16</v>
      </c>
      <c r="C84" s="2033" t="s">
        <v>2477</v>
      </c>
      <c r="D84" s="2033" t="s">
        <v>2478</v>
      </c>
      <c r="E84" s="2033" t="s">
        <v>2479</v>
      </c>
      <c r="F84" s="2033" t="s">
        <v>2296</v>
      </c>
      <c r="G84" s="2033" t="s">
        <v>2480</v>
      </c>
      <c r="H84" s="2033" t="s">
        <v>22</v>
      </c>
      <c r="I84" s="2033" t="s">
        <v>894</v>
      </c>
    </row>
    <row r="85" spans="1:9" ht="11.25" customHeight="1">
      <c r="A85" s="2033" t="s">
        <v>2270</v>
      </c>
      <c r="B85" s="2033" t="s">
        <v>16</v>
      </c>
      <c r="C85" s="2033" t="s">
        <v>2481</v>
      </c>
      <c r="D85" s="2033" t="s">
        <v>2482</v>
      </c>
      <c r="E85" s="2033" t="s">
        <v>2483</v>
      </c>
      <c r="F85" s="2033" t="s">
        <v>2296</v>
      </c>
      <c r="G85" s="2033" t="s">
        <v>2484</v>
      </c>
      <c r="H85" s="2033" t="s">
        <v>22</v>
      </c>
      <c r="I85" s="2033" t="s">
        <v>894</v>
      </c>
    </row>
    <row r="86" spans="1:9" ht="11.25" customHeight="1">
      <c r="A86" s="2033" t="s">
        <v>2270</v>
      </c>
      <c r="B86" s="2033" t="s">
        <v>16</v>
      </c>
      <c r="C86" s="2033" t="s">
        <v>2490</v>
      </c>
      <c r="D86" s="2033" t="s">
        <v>2491</v>
      </c>
      <c r="E86" s="2033" t="s">
        <v>2464</v>
      </c>
      <c r="F86" s="2033" t="s">
        <v>2492</v>
      </c>
      <c r="G86" s="2033" t="s">
        <v>22</v>
      </c>
      <c r="H86" s="2033" t="s">
        <v>22</v>
      </c>
      <c r="I86" s="2033" t="s">
        <v>894</v>
      </c>
    </row>
    <row r="87" spans="1:9" ht="11.25" customHeight="1">
      <c r="A87" s="2033" t="s">
        <v>2270</v>
      </c>
      <c r="B87" s="2033" t="s">
        <v>16</v>
      </c>
      <c r="C87" s="2033" t="s">
        <v>2497</v>
      </c>
      <c r="D87" s="2033" t="s">
        <v>2498</v>
      </c>
      <c r="E87" s="2033" t="s">
        <v>2499</v>
      </c>
      <c r="F87" s="2033" t="s">
        <v>2360</v>
      </c>
      <c r="G87" s="2033" t="s">
        <v>2500</v>
      </c>
      <c r="H87" s="2033" t="s">
        <v>22</v>
      </c>
      <c r="I87" s="2033" t="s">
        <v>854</v>
      </c>
    </row>
    <row r="88" spans="1:9" ht="11.25" customHeight="1">
      <c r="A88" s="2033" t="s">
        <v>2270</v>
      </c>
      <c r="B88" s="2033" t="s">
        <v>16</v>
      </c>
      <c r="C88" s="2033" t="s">
        <v>2275</v>
      </c>
      <c r="D88" s="2033" t="s">
        <v>2272</v>
      </c>
      <c r="E88" s="2033" t="s">
        <v>2273</v>
      </c>
      <c r="F88" s="2033" t="s">
        <v>2276</v>
      </c>
      <c r="G88" s="2033" t="s">
        <v>22</v>
      </c>
      <c r="H88" s="2033" t="s">
        <v>22</v>
      </c>
      <c r="I88" s="2033" t="s">
        <v>854</v>
      </c>
    </row>
    <row r="89" spans="1:9" ht="11.25" customHeight="1">
      <c r="A89" s="2033" t="s">
        <v>2270</v>
      </c>
      <c r="B89" s="2033" t="s">
        <v>16</v>
      </c>
      <c r="C89" s="2033" t="s">
        <v>2501</v>
      </c>
      <c r="D89" s="2033" t="s">
        <v>2502</v>
      </c>
      <c r="E89" s="2033" t="s">
        <v>2503</v>
      </c>
      <c r="F89" s="2033" t="s">
        <v>2504</v>
      </c>
      <c r="G89" s="2033" t="s">
        <v>22</v>
      </c>
      <c r="H89" s="2033" t="s">
        <v>22</v>
      </c>
      <c r="I89" s="2033" t="s">
        <v>854</v>
      </c>
    </row>
    <row r="90" spans="1:9" ht="11.25" customHeight="1">
      <c r="A90" s="2033" t="s">
        <v>2270</v>
      </c>
      <c r="B90" s="2033" t="s">
        <v>16</v>
      </c>
      <c r="C90" s="2033" t="s">
        <v>2280</v>
      </c>
      <c r="D90" s="2033" t="s">
        <v>2281</v>
      </c>
      <c r="E90" s="2033" t="s">
        <v>2282</v>
      </c>
      <c r="F90" s="2033" t="s">
        <v>2283</v>
      </c>
      <c r="G90" s="2033" t="s">
        <v>22</v>
      </c>
      <c r="H90" s="2033" t="s">
        <v>22</v>
      </c>
      <c r="I90" s="2033" t="s">
        <v>854</v>
      </c>
    </row>
    <row r="91" spans="1:9" ht="11.25" customHeight="1">
      <c r="A91" s="2033" t="s">
        <v>2270</v>
      </c>
      <c r="B91" s="2033" t="s">
        <v>16</v>
      </c>
      <c r="C91" s="2033" t="s">
        <v>2505</v>
      </c>
      <c r="D91" s="2033" t="s">
        <v>2506</v>
      </c>
      <c r="E91" s="2033" t="s">
        <v>2507</v>
      </c>
      <c r="F91" s="2033" t="s">
        <v>2384</v>
      </c>
      <c r="G91" s="2033" t="s">
        <v>2508</v>
      </c>
      <c r="H91" s="2033" t="s">
        <v>22</v>
      </c>
      <c r="I91" s="2033" t="s">
        <v>854</v>
      </c>
    </row>
    <row r="92" spans="1:9" ht="11.25" customHeight="1">
      <c r="A92" s="2033" t="s">
        <v>2270</v>
      </c>
      <c r="B92" s="2033" t="s">
        <v>16</v>
      </c>
      <c r="C92" s="2033" t="s">
        <v>2284</v>
      </c>
      <c r="D92" s="2033" t="s">
        <v>2285</v>
      </c>
      <c r="E92" s="2033" t="s">
        <v>2286</v>
      </c>
      <c r="F92" s="2033" t="s">
        <v>2287</v>
      </c>
      <c r="G92" s="2033" t="s">
        <v>2288</v>
      </c>
      <c r="H92" s="2033" t="s">
        <v>22</v>
      </c>
      <c r="I92" s="2033" t="s">
        <v>854</v>
      </c>
    </row>
    <row r="93" spans="1:9" ht="11.25" customHeight="1">
      <c r="A93" s="2033" t="s">
        <v>2270</v>
      </c>
      <c r="B93" s="2033" t="s">
        <v>16</v>
      </c>
      <c r="C93" s="2033" t="s">
        <v>2509</v>
      </c>
      <c r="D93" s="2033" t="s">
        <v>2510</v>
      </c>
      <c r="E93" s="2033" t="s">
        <v>2511</v>
      </c>
      <c r="F93" s="2033" t="s">
        <v>2504</v>
      </c>
      <c r="G93" s="2033" t="s">
        <v>2512</v>
      </c>
      <c r="H93" s="2033" t="s">
        <v>22</v>
      </c>
      <c r="I93" s="2033" t="s">
        <v>854</v>
      </c>
    </row>
    <row r="94" spans="1:9" ht="11.25" customHeight="1">
      <c r="A94" s="2033" t="s">
        <v>2270</v>
      </c>
      <c r="B94" s="2033" t="s">
        <v>16</v>
      </c>
      <c r="C94" s="2033" t="s">
        <v>2289</v>
      </c>
      <c r="D94" s="2033" t="s">
        <v>2290</v>
      </c>
      <c r="E94" s="2033" t="s">
        <v>2291</v>
      </c>
      <c r="F94" s="2033" t="s">
        <v>50</v>
      </c>
      <c r="G94" s="2033" t="s">
        <v>22</v>
      </c>
      <c r="H94" s="2033" t="s">
        <v>2292</v>
      </c>
      <c r="I94" s="2033" t="s">
        <v>854</v>
      </c>
    </row>
    <row r="95" spans="1:9" ht="11.25" customHeight="1">
      <c r="A95" s="2033" t="s">
        <v>2270</v>
      </c>
      <c r="B95" s="2033" t="s">
        <v>16</v>
      </c>
      <c r="C95" s="2033" t="s">
        <v>2293</v>
      </c>
      <c r="D95" s="2033" t="s">
        <v>2294</v>
      </c>
      <c r="E95" s="2033" t="s">
        <v>2295</v>
      </c>
      <c r="F95" s="2033" t="s">
        <v>2296</v>
      </c>
      <c r="G95" s="2033" t="s">
        <v>22</v>
      </c>
      <c r="H95" s="2033" t="s">
        <v>22</v>
      </c>
      <c r="I95" s="2033" t="s">
        <v>854</v>
      </c>
    </row>
    <row r="96" spans="1:9" ht="11.25" customHeight="1">
      <c r="A96" s="2033" t="s">
        <v>2270</v>
      </c>
      <c r="B96" s="2033" t="s">
        <v>16</v>
      </c>
      <c r="C96" s="2033" t="s">
        <v>2297</v>
      </c>
      <c r="D96" s="2033" t="s">
        <v>2298</v>
      </c>
      <c r="E96" s="2033" t="s">
        <v>2299</v>
      </c>
      <c r="F96" s="2033" t="s">
        <v>2296</v>
      </c>
      <c r="G96" s="2033" t="s">
        <v>2300</v>
      </c>
      <c r="H96" s="2033" t="s">
        <v>2288</v>
      </c>
      <c r="I96" s="2033" t="s">
        <v>854</v>
      </c>
    </row>
    <row r="97" spans="1:9" ht="11.25" customHeight="1">
      <c r="A97" s="2033" t="s">
        <v>2270</v>
      </c>
      <c r="B97" s="2033" t="s">
        <v>16</v>
      </c>
      <c r="C97" s="2033" t="s">
        <v>2513</v>
      </c>
      <c r="D97" s="2033" t="s">
        <v>2514</v>
      </c>
      <c r="E97" s="2033" t="s">
        <v>2515</v>
      </c>
      <c r="F97" s="2033" t="s">
        <v>2388</v>
      </c>
      <c r="G97" s="2033" t="s">
        <v>2516</v>
      </c>
      <c r="H97" s="2033" t="s">
        <v>22</v>
      </c>
      <c r="I97" s="2033" t="s">
        <v>854</v>
      </c>
    </row>
    <row r="98" spans="1:9" ht="11.25" customHeight="1">
      <c r="A98" s="2033" t="s">
        <v>2270</v>
      </c>
      <c r="B98" s="2033" t="s">
        <v>16</v>
      </c>
      <c r="C98" s="2033" t="s">
        <v>2517</v>
      </c>
      <c r="D98" s="2033" t="s">
        <v>2518</v>
      </c>
      <c r="E98" s="2033" t="s">
        <v>2519</v>
      </c>
      <c r="F98" s="2033" t="s">
        <v>2311</v>
      </c>
      <c r="G98" s="2033" t="s">
        <v>22</v>
      </c>
      <c r="H98" s="2033" t="s">
        <v>22</v>
      </c>
      <c r="I98" s="2033" t="s">
        <v>854</v>
      </c>
    </row>
    <row r="99" spans="1:9" ht="11.25" customHeight="1">
      <c r="A99" s="2033" t="s">
        <v>2270</v>
      </c>
      <c r="B99" s="2033" t="s">
        <v>16</v>
      </c>
      <c r="C99" s="2033" t="s">
        <v>2520</v>
      </c>
      <c r="D99" s="2033" t="s">
        <v>2521</v>
      </c>
      <c r="E99" s="2033" t="s">
        <v>2522</v>
      </c>
      <c r="F99" s="2033" t="s">
        <v>2523</v>
      </c>
      <c r="G99" s="2033" t="s">
        <v>2524</v>
      </c>
      <c r="H99" s="2033" t="s">
        <v>22</v>
      </c>
      <c r="I99" s="2033" t="s">
        <v>854</v>
      </c>
    </row>
    <row r="100" spans="1:9" ht="11.25" customHeight="1">
      <c r="A100" s="2033" t="s">
        <v>2270</v>
      </c>
      <c r="B100" s="2033" t="s">
        <v>16</v>
      </c>
      <c r="C100" s="2033" t="s">
        <v>22</v>
      </c>
      <c r="D100" s="2033" t="s">
        <v>2301</v>
      </c>
      <c r="E100" s="2033" t="s">
        <v>2302</v>
      </c>
      <c r="F100" s="2033" t="s">
        <v>50</v>
      </c>
      <c r="G100" s="2033" t="s">
        <v>22</v>
      </c>
      <c r="H100" s="2033" t="s">
        <v>22</v>
      </c>
      <c r="I100" s="2033" t="s">
        <v>854</v>
      </c>
    </row>
    <row r="101" spans="1:9" ht="11.25" customHeight="1">
      <c r="A101" s="2033" t="s">
        <v>2270</v>
      </c>
      <c r="B101" s="2033" t="s">
        <v>16</v>
      </c>
      <c r="C101" s="2033" t="s">
        <v>2312</v>
      </c>
      <c r="D101" s="2033" t="s">
        <v>2313</v>
      </c>
      <c r="E101" s="2033" t="s">
        <v>2314</v>
      </c>
      <c r="F101" s="2033" t="s">
        <v>2315</v>
      </c>
      <c r="G101" s="2033" t="s">
        <v>2316</v>
      </c>
      <c r="H101" s="2033" t="s">
        <v>22</v>
      </c>
      <c r="I101" s="2033" t="s">
        <v>854</v>
      </c>
    </row>
    <row r="102" spans="1:9" ht="11.25" customHeight="1">
      <c r="A102" s="2033" t="s">
        <v>2270</v>
      </c>
      <c r="B102" s="2033" t="s">
        <v>16</v>
      </c>
      <c r="C102" s="2033" t="s">
        <v>2525</v>
      </c>
      <c r="D102" s="2033" t="s">
        <v>2526</v>
      </c>
      <c r="E102" s="2033" t="s">
        <v>2527</v>
      </c>
      <c r="F102" s="2033" t="s">
        <v>2528</v>
      </c>
      <c r="G102" s="2033" t="s">
        <v>2529</v>
      </c>
      <c r="H102" s="2033" t="s">
        <v>22</v>
      </c>
      <c r="I102" s="2033" t="s">
        <v>854</v>
      </c>
    </row>
    <row r="103" spans="1:9" ht="11.25" customHeight="1">
      <c r="A103" s="2033" t="s">
        <v>2270</v>
      </c>
      <c r="B103" s="2033" t="s">
        <v>16</v>
      </c>
      <c r="C103" s="2033" t="s">
        <v>2530</v>
      </c>
      <c r="D103" s="2033" t="s">
        <v>2531</v>
      </c>
      <c r="E103" s="2033" t="s">
        <v>2532</v>
      </c>
      <c r="F103" s="2033" t="s">
        <v>2418</v>
      </c>
      <c r="G103" s="2033" t="s">
        <v>2533</v>
      </c>
      <c r="H103" s="2033" t="s">
        <v>22</v>
      </c>
      <c r="I103" s="2033" t="s">
        <v>854</v>
      </c>
    </row>
    <row r="104" spans="1:9" ht="11.25" customHeight="1">
      <c r="A104" s="2033" t="s">
        <v>2270</v>
      </c>
      <c r="B104" s="2033" t="s">
        <v>16</v>
      </c>
      <c r="C104" s="2033" t="s">
        <v>2534</v>
      </c>
      <c r="D104" s="2033" t="s">
        <v>45</v>
      </c>
      <c r="E104" s="2033" t="s">
        <v>2535</v>
      </c>
      <c r="F104" s="2033" t="s">
        <v>2306</v>
      </c>
      <c r="G104" s="2033" t="s">
        <v>2536</v>
      </c>
      <c r="H104" s="2033" t="s">
        <v>22</v>
      </c>
      <c r="I104" s="2033" t="s">
        <v>854</v>
      </c>
    </row>
    <row r="105" spans="1:9" ht="11.25" customHeight="1">
      <c r="A105" s="2033" t="s">
        <v>2270</v>
      </c>
      <c r="B105" s="2033" t="s">
        <v>16</v>
      </c>
      <c r="C105" s="2033" t="s">
        <v>2537</v>
      </c>
      <c r="D105" s="2033" t="s">
        <v>45</v>
      </c>
      <c r="E105" s="2033" t="s">
        <v>2538</v>
      </c>
      <c r="F105" s="2033" t="s">
        <v>2384</v>
      </c>
      <c r="G105" s="2033" t="s">
        <v>2508</v>
      </c>
      <c r="H105" s="2033" t="s">
        <v>22</v>
      </c>
      <c r="I105" s="2033" t="s">
        <v>854</v>
      </c>
    </row>
    <row r="106" spans="1:9" ht="11.25" customHeight="1">
      <c r="A106" s="2033" t="s">
        <v>2270</v>
      </c>
      <c r="B106" s="2033" t="s">
        <v>16</v>
      </c>
      <c r="C106" s="2033" t="s">
        <v>13</v>
      </c>
      <c r="D106" s="2033" t="s">
        <v>45</v>
      </c>
      <c r="E106" s="2033" t="s">
        <v>48</v>
      </c>
      <c r="F106" s="2033" t="s">
        <v>50</v>
      </c>
      <c r="G106" s="2033" t="s">
        <v>2539</v>
      </c>
      <c r="H106" s="2033" t="s">
        <v>22</v>
      </c>
      <c r="I106" s="2033" t="s">
        <v>854</v>
      </c>
    </row>
    <row r="107" spans="1:9" ht="11.25" customHeight="1">
      <c r="A107" s="2033" t="s">
        <v>2270</v>
      </c>
      <c r="B107" s="2033" t="s">
        <v>16</v>
      </c>
      <c r="C107" s="2033" t="s">
        <v>2540</v>
      </c>
      <c r="D107" s="2033" t="s">
        <v>45</v>
      </c>
      <c r="E107" s="2033" t="s">
        <v>2541</v>
      </c>
      <c r="F107" s="2033" t="s">
        <v>2324</v>
      </c>
      <c r="G107" s="2033" t="s">
        <v>22</v>
      </c>
      <c r="H107" s="2033" t="s">
        <v>22</v>
      </c>
      <c r="I107" s="2033" t="s">
        <v>854</v>
      </c>
    </row>
    <row r="108" spans="1:9" ht="11.25" customHeight="1">
      <c r="A108" s="2033" t="s">
        <v>2270</v>
      </c>
      <c r="B108" s="2033" t="s">
        <v>16</v>
      </c>
      <c r="C108" s="2033" t="s">
        <v>2542</v>
      </c>
      <c r="D108" s="2033" t="s">
        <v>2543</v>
      </c>
      <c r="E108" s="2033" t="s">
        <v>2544</v>
      </c>
      <c r="F108" s="2033" t="s">
        <v>2339</v>
      </c>
      <c r="G108" s="2033" t="s">
        <v>22</v>
      </c>
      <c r="H108" s="2033" t="s">
        <v>22</v>
      </c>
      <c r="I108" s="2033" t="s">
        <v>854</v>
      </c>
    </row>
    <row r="109" spans="1:9" ht="11.25" customHeight="1">
      <c r="A109" s="2033" t="s">
        <v>2270</v>
      </c>
      <c r="B109" s="2033" t="s">
        <v>16</v>
      </c>
      <c r="C109" s="2033" t="s">
        <v>2545</v>
      </c>
      <c r="D109" s="2033" t="s">
        <v>2546</v>
      </c>
      <c r="E109" s="2033" t="s">
        <v>2547</v>
      </c>
      <c r="F109" s="2033" t="s">
        <v>2388</v>
      </c>
      <c r="G109" s="2033" t="s">
        <v>22</v>
      </c>
      <c r="H109" s="2033" t="s">
        <v>22</v>
      </c>
      <c r="I109" s="2033" t="s">
        <v>854</v>
      </c>
    </row>
    <row r="110" spans="1:9" ht="11.25" customHeight="1">
      <c r="A110" s="2033" t="s">
        <v>2270</v>
      </c>
      <c r="B110" s="2033" t="s">
        <v>16</v>
      </c>
      <c r="C110" s="2033" t="s">
        <v>2548</v>
      </c>
      <c r="D110" s="2033" t="s">
        <v>2549</v>
      </c>
      <c r="E110" s="2033" t="s">
        <v>2550</v>
      </c>
      <c r="F110" s="2033" t="s">
        <v>2528</v>
      </c>
      <c r="G110" s="2033" t="s">
        <v>2551</v>
      </c>
      <c r="H110" s="2033" t="s">
        <v>22</v>
      </c>
      <c r="I110" s="2033" t="s">
        <v>854</v>
      </c>
    </row>
    <row r="111" spans="1:9" ht="11.25" customHeight="1">
      <c r="A111" s="2033" t="s">
        <v>2270</v>
      </c>
      <c r="B111" s="2033" t="s">
        <v>16</v>
      </c>
      <c r="C111" s="2033" t="s">
        <v>2321</v>
      </c>
      <c r="D111" s="2033" t="s">
        <v>2322</v>
      </c>
      <c r="E111" s="2033" t="s">
        <v>2323</v>
      </c>
      <c r="F111" s="2033" t="s">
        <v>2324</v>
      </c>
      <c r="G111" s="2033" t="s">
        <v>2325</v>
      </c>
      <c r="H111" s="2033" t="s">
        <v>22</v>
      </c>
      <c r="I111" s="2033" t="s">
        <v>854</v>
      </c>
    </row>
    <row r="112" spans="1:9" ht="11.25" customHeight="1">
      <c r="A112" s="2033" t="s">
        <v>2270</v>
      </c>
      <c r="B112" s="2033" t="s">
        <v>16</v>
      </c>
      <c r="C112" s="2033" t="s">
        <v>2552</v>
      </c>
      <c r="D112" s="2033" t="s">
        <v>2553</v>
      </c>
      <c r="E112" s="2033" t="s">
        <v>2554</v>
      </c>
      <c r="F112" s="2033" t="s">
        <v>2306</v>
      </c>
      <c r="G112" s="2033" t="s">
        <v>2555</v>
      </c>
      <c r="H112" s="2033" t="s">
        <v>22</v>
      </c>
      <c r="I112" s="2033" t="s">
        <v>854</v>
      </c>
    </row>
    <row r="113" spans="1:9" ht="11.25" customHeight="1">
      <c r="A113" s="2033" t="s">
        <v>2270</v>
      </c>
      <c r="B113" s="2033" t="s">
        <v>16</v>
      </c>
      <c r="C113" s="2033" t="s">
        <v>2556</v>
      </c>
      <c r="D113" s="2033" t="s">
        <v>2557</v>
      </c>
      <c r="E113" s="2033" t="s">
        <v>2558</v>
      </c>
      <c r="F113" s="2033" t="s">
        <v>2410</v>
      </c>
      <c r="G113" s="2033" t="s">
        <v>2559</v>
      </c>
      <c r="H113" s="2033" t="s">
        <v>22</v>
      </c>
      <c r="I113" s="2033" t="s">
        <v>854</v>
      </c>
    </row>
    <row r="114" spans="1:9" ht="11.25" customHeight="1">
      <c r="A114" s="2033" t="s">
        <v>2270</v>
      </c>
      <c r="B114" s="2033" t="s">
        <v>16</v>
      </c>
      <c r="C114" s="2033" t="s">
        <v>2560</v>
      </c>
      <c r="D114" s="2033" t="s">
        <v>2561</v>
      </c>
      <c r="E114" s="2033" t="s">
        <v>2562</v>
      </c>
      <c r="F114" s="2033" t="s">
        <v>2563</v>
      </c>
      <c r="G114" s="2033" t="s">
        <v>2564</v>
      </c>
      <c r="H114" s="2033" t="s">
        <v>22</v>
      </c>
      <c r="I114" s="2033" t="s">
        <v>854</v>
      </c>
    </row>
    <row r="115" spans="1:9" ht="11.25" customHeight="1">
      <c r="A115" s="2033" t="s">
        <v>2270</v>
      </c>
      <c r="B115" s="2033" t="s">
        <v>16</v>
      </c>
      <c r="C115" s="2033" t="s">
        <v>2565</v>
      </c>
      <c r="D115" s="2033" t="s">
        <v>2566</v>
      </c>
      <c r="E115" s="2033" t="s">
        <v>2567</v>
      </c>
      <c r="F115" s="2033" t="s">
        <v>2523</v>
      </c>
      <c r="G115" s="2033" t="s">
        <v>2568</v>
      </c>
      <c r="H115" s="2033" t="s">
        <v>22</v>
      </c>
      <c r="I115" s="2033" t="s">
        <v>854</v>
      </c>
    </row>
    <row r="116" spans="1:9" ht="11.25" customHeight="1">
      <c r="A116" s="2033" t="s">
        <v>2270</v>
      </c>
      <c r="B116" s="2033" t="s">
        <v>16</v>
      </c>
      <c r="C116" s="2033" t="s">
        <v>2336</v>
      </c>
      <c r="D116" s="2033" t="s">
        <v>2337</v>
      </c>
      <c r="E116" s="2033" t="s">
        <v>2338</v>
      </c>
      <c r="F116" s="2033" t="s">
        <v>2339</v>
      </c>
      <c r="G116" s="2033" t="s">
        <v>22</v>
      </c>
      <c r="H116" s="2033" t="s">
        <v>22</v>
      </c>
      <c r="I116" s="2033" t="s">
        <v>854</v>
      </c>
    </row>
    <row r="117" spans="1:9" ht="11.25" customHeight="1">
      <c r="A117" s="2033" t="s">
        <v>2270</v>
      </c>
      <c r="B117" s="2033" t="s">
        <v>16</v>
      </c>
      <c r="C117" s="2033" t="s">
        <v>2340</v>
      </c>
      <c r="D117" s="2033" t="s">
        <v>2341</v>
      </c>
      <c r="E117" s="2033" t="s">
        <v>2342</v>
      </c>
      <c r="F117" s="2033" t="s">
        <v>2343</v>
      </c>
      <c r="G117" s="2033" t="s">
        <v>2344</v>
      </c>
      <c r="H117" s="2033" t="s">
        <v>2345</v>
      </c>
      <c r="I117" s="2033" t="s">
        <v>854</v>
      </c>
    </row>
    <row r="118" spans="1:9" ht="11.25" customHeight="1">
      <c r="A118" s="2033" t="s">
        <v>2270</v>
      </c>
      <c r="B118" s="2033" t="s">
        <v>16</v>
      </c>
      <c r="C118" s="2033" t="s">
        <v>2569</v>
      </c>
      <c r="D118" s="2033" t="s">
        <v>2570</v>
      </c>
      <c r="E118" s="2033" t="s">
        <v>2571</v>
      </c>
      <c r="F118" s="2033" t="s">
        <v>2296</v>
      </c>
      <c r="G118" s="2033" t="s">
        <v>2572</v>
      </c>
      <c r="H118" s="2033" t="s">
        <v>22</v>
      </c>
      <c r="I118" s="2033" t="s">
        <v>854</v>
      </c>
    </row>
    <row r="119" spans="1:9" ht="11.25" customHeight="1">
      <c r="A119" s="2033" t="s">
        <v>2270</v>
      </c>
      <c r="B119" s="2033" t="s">
        <v>16</v>
      </c>
      <c r="C119" s="2033" t="s">
        <v>2362</v>
      </c>
      <c r="D119" s="2033" t="s">
        <v>2363</v>
      </c>
      <c r="E119" s="2033" t="s">
        <v>2364</v>
      </c>
      <c r="F119" s="2033" t="s">
        <v>50</v>
      </c>
      <c r="G119" s="2033" t="s">
        <v>2365</v>
      </c>
      <c r="H119" s="2033" t="s">
        <v>22</v>
      </c>
      <c r="I119" s="2033" t="s">
        <v>854</v>
      </c>
    </row>
    <row r="120" spans="1:9" ht="11.25" customHeight="1">
      <c r="A120" s="2033" t="s">
        <v>2270</v>
      </c>
      <c r="B120" s="2033" t="s">
        <v>16</v>
      </c>
      <c r="C120" s="2033" t="s">
        <v>2573</v>
      </c>
      <c r="D120" s="2033" t="s">
        <v>2574</v>
      </c>
      <c r="E120" s="2033" t="s">
        <v>2575</v>
      </c>
      <c r="F120" s="2033" t="s">
        <v>2388</v>
      </c>
      <c r="G120" s="2033" t="s">
        <v>2576</v>
      </c>
      <c r="H120" s="2033" t="s">
        <v>22</v>
      </c>
      <c r="I120" s="2033" t="s">
        <v>854</v>
      </c>
    </row>
    <row r="121" spans="1:9" ht="11.25" customHeight="1">
      <c r="A121" s="2033" t="s">
        <v>2270</v>
      </c>
      <c r="B121" s="2033" t="s">
        <v>16</v>
      </c>
      <c r="C121" s="2033" t="s">
        <v>2577</v>
      </c>
      <c r="D121" s="2033" t="s">
        <v>2578</v>
      </c>
      <c r="E121" s="2033" t="s">
        <v>2579</v>
      </c>
      <c r="F121" s="2033" t="s">
        <v>2504</v>
      </c>
      <c r="G121" s="2033" t="s">
        <v>22</v>
      </c>
      <c r="H121" s="2033" t="s">
        <v>22</v>
      </c>
      <c r="I121" s="2033" t="s">
        <v>854</v>
      </c>
    </row>
    <row r="122" spans="1:9" ht="11.25" customHeight="1">
      <c r="A122" s="2033" t="s">
        <v>2270</v>
      </c>
      <c r="B122" s="2033" t="s">
        <v>16</v>
      </c>
      <c r="C122" s="2033" t="s">
        <v>2580</v>
      </c>
      <c r="D122" s="2033" t="s">
        <v>2581</v>
      </c>
      <c r="E122" s="2033" t="s">
        <v>2582</v>
      </c>
      <c r="F122" s="2033" t="s">
        <v>50</v>
      </c>
      <c r="G122" s="2033" t="s">
        <v>22</v>
      </c>
      <c r="H122" s="2033" t="s">
        <v>22</v>
      </c>
      <c r="I122" s="2033" t="s">
        <v>854</v>
      </c>
    </row>
    <row r="123" spans="1:9" ht="11.25" customHeight="1">
      <c r="A123" s="2033" t="s">
        <v>2270</v>
      </c>
      <c r="B123" s="2033" t="s">
        <v>16</v>
      </c>
      <c r="C123" s="2033" t="s">
        <v>2583</v>
      </c>
      <c r="D123" s="2033" t="s">
        <v>2584</v>
      </c>
      <c r="E123" s="2033" t="s">
        <v>2585</v>
      </c>
      <c r="F123" s="2033" t="s">
        <v>2528</v>
      </c>
      <c r="G123" s="2033" t="s">
        <v>2586</v>
      </c>
      <c r="H123" s="2033" t="s">
        <v>22</v>
      </c>
      <c r="I123" s="2033" t="s">
        <v>854</v>
      </c>
    </row>
    <row r="124" spans="1:9" ht="11.25" customHeight="1">
      <c r="A124" s="2033" t="s">
        <v>2270</v>
      </c>
      <c r="B124" s="2033" t="s">
        <v>16</v>
      </c>
      <c r="C124" s="2033" t="s">
        <v>2587</v>
      </c>
      <c r="D124" s="2033" t="s">
        <v>2588</v>
      </c>
      <c r="E124" s="2033" t="s">
        <v>2589</v>
      </c>
      <c r="F124" s="2033" t="s">
        <v>2306</v>
      </c>
      <c r="G124" s="2033" t="s">
        <v>2590</v>
      </c>
      <c r="H124" s="2033" t="s">
        <v>22</v>
      </c>
      <c r="I124" s="2033" t="s">
        <v>854</v>
      </c>
    </row>
    <row r="125" spans="1:9" ht="11.25" customHeight="1">
      <c r="A125" s="2033" t="s">
        <v>2270</v>
      </c>
      <c r="B125" s="2033" t="s">
        <v>16</v>
      </c>
      <c r="C125" s="2033" t="s">
        <v>2591</v>
      </c>
      <c r="D125" s="2033" t="s">
        <v>2592</v>
      </c>
      <c r="E125" s="2033" t="s">
        <v>2593</v>
      </c>
      <c r="F125" s="2033" t="s">
        <v>2306</v>
      </c>
      <c r="G125" s="2033" t="s">
        <v>2594</v>
      </c>
      <c r="H125" s="2033" t="s">
        <v>22</v>
      </c>
      <c r="I125" s="2033" t="s">
        <v>854</v>
      </c>
    </row>
    <row r="126" spans="1:9" ht="11.25" customHeight="1">
      <c r="A126" s="2033" t="s">
        <v>2270</v>
      </c>
      <c r="B126" s="2033" t="s">
        <v>16</v>
      </c>
      <c r="C126" s="2033" t="s">
        <v>2373</v>
      </c>
      <c r="D126" s="2033" t="s">
        <v>2374</v>
      </c>
      <c r="E126" s="2033" t="s">
        <v>2375</v>
      </c>
      <c r="F126" s="2033" t="s">
        <v>2311</v>
      </c>
      <c r="G126" s="2033" t="s">
        <v>2376</v>
      </c>
      <c r="H126" s="2033" t="s">
        <v>22</v>
      </c>
      <c r="I126" s="2033" t="s">
        <v>854</v>
      </c>
    </row>
    <row r="127" spans="1:9" ht="11.25" customHeight="1">
      <c r="A127" s="2033" t="s">
        <v>2270</v>
      </c>
      <c r="B127" s="2033" t="s">
        <v>16</v>
      </c>
      <c r="C127" s="2033" t="s">
        <v>2595</v>
      </c>
      <c r="D127" s="2033" t="s">
        <v>2596</v>
      </c>
      <c r="E127" s="2033" t="s">
        <v>2597</v>
      </c>
      <c r="F127" s="2033" t="s">
        <v>2563</v>
      </c>
      <c r="G127" s="2033" t="s">
        <v>22</v>
      </c>
      <c r="H127" s="2033" t="s">
        <v>22</v>
      </c>
      <c r="I127" s="2033" t="s">
        <v>854</v>
      </c>
    </row>
    <row r="128" spans="1:9" ht="11.25" customHeight="1">
      <c r="A128" s="2033" t="s">
        <v>2270</v>
      </c>
      <c r="B128" s="2033" t="s">
        <v>16</v>
      </c>
      <c r="C128" s="2033" t="s">
        <v>2598</v>
      </c>
      <c r="D128" s="2033" t="s">
        <v>2599</v>
      </c>
      <c r="E128" s="2033" t="s">
        <v>2600</v>
      </c>
      <c r="F128" s="2033" t="s">
        <v>2372</v>
      </c>
      <c r="G128" s="2033" t="s">
        <v>2601</v>
      </c>
      <c r="H128" s="2033" t="s">
        <v>22</v>
      </c>
      <c r="I128" s="2033" t="s">
        <v>854</v>
      </c>
    </row>
    <row r="129" spans="1:9" ht="11.25" customHeight="1">
      <c r="A129" s="2033" t="s">
        <v>2270</v>
      </c>
      <c r="B129" s="2033" t="s">
        <v>16</v>
      </c>
      <c r="C129" s="2033" t="s">
        <v>2602</v>
      </c>
      <c r="D129" s="2033" t="s">
        <v>2603</v>
      </c>
      <c r="E129" s="2033" t="s">
        <v>2604</v>
      </c>
      <c r="F129" s="2033" t="s">
        <v>2339</v>
      </c>
      <c r="G129" s="2033" t="s">
        <v>22</v>
      </c>
      <c r="H129" s="2033" t="s">
        <v>22</v>
      </c>
      <c r="I129" s="2033" t="s">
        <v>854</v>
      </c>
    </row>
    <row r="130" spans="1:9" ht="11.25" customHeight="1">
      <c r="A130" s="2033" t="s">
        <v>2270</v>
      </c>
      <c r="B130" s="2033" t="s">
        <v>16</v>
      </c>
      <c r="C130" s="2033" t="s">
        <v>2605</v>
      </c>
      <c r="D130" s="2033" t="s">
        <v>2606</v>
      </c>
      <c r="E130" s="2033" t="s">
        <v>2607</v>
      </c>
      <c r="F130" s="2033" t="s">
        <v>2504</v>
      </c>
      <c r="G130" s="2033" t="s">
        <v>2608</v>
      </c>
      <c r="H130" s="2033" t="s">
        <v>2609</v>
      </c>
      <c r="I130" s="2033" t="s">
        <v>854</v>
      </c>
    </row>
    <row r="131" spans="1:9" ht="11.25" customHeight="1">
      <c r="A131" s="2033" t="s">
        <v>2270</v>
      </c>
      <c r="B131" s="2033" t="s">
        <v>16</v>
      </c>
      <c r="C131" s="2033" t="s">
        <v>2610</v>
      </c>
      <c r="D131" s="2033" t="s">
        <v>2611</v>
      </c>
      <c r="E131" s="2033" t="s">
        <v>2612</v>
      </c>
      <c r="F131" s="2033" t="s">
        <v>2563</v>
      </c>
      <c r="G131" s="2033" t="s">
        <v>22</v>
      </c>
      <c r="H131" s="2033" t="s">
        <v>22</v>
      </c>
      <c r="I131" s="2033" t="s">
        <v>854</v>
      </c>
    </row>
    <row r="132" spans="1:9" ht="11.25" customHeight="1">
      <c r="A132" s="2033" t="s">
        <v>2270</v>
      </c>
      <c r="B132" s="2033" t="s">
        <v>16</v>
      </c>
      <c r="C132" s="2033" t="s">
        <v>2613</v>
      </c>
      <c r="D132" s="2033" t="s">
        <v>2614</v>
      </c>
      <c r="E132" s="2033" t="s">
        <v>2615</v>
      </c>
      <c r="F132" s="2033" t="s">
        <v>2296</v>
      </c>
      <c r="G132" s="2033" t="s">
        <v>2616</v>
      </c>
      <c r="H132" s="2033" t="s">
        <v>22</v>
      </c>
      <c r="I132" s="2033" t="s">
        <v>854</v>
      </c>
    </row>
    <row r="133" spans="1:9" ht="11.25" customHeight="1">
      <c r="A133" s="2033" t="s">
        <v>2270</v>
      </c>
      <c r="B133" s="2033" t="s">
        <v>16</v>
      </c>
      <c r="C133" s="2033" t="s">
        <v>2617</v>
      </c>
      <c r="D133" s="2033" t="s">
        <v>2618</v>
      </c>
      <c r="E133" s="2033" t="s">
        <v>2619</v>
      </c>
      <c r="F133" s="2033" t="s">
        <v>2528</v>
      </c>
      <c r="G133" s="2033" t="s">
        <v>2620</v>
      </c>
      <c r="H133" s="2033" t="s">
        <v>22</v>
      </c>
      <c r="I133" s="2033" t="s">
        <v>854</v>
      </c>
    </row>
    <row r="134" spans="1:9" ht="11.25" customHeight="1">
      <c r="A134" s="2033" t="s">
        <v>2270</v>
      </c>
      <c r="B134" s="2033" t="s">
        <v>16</v>
      </c>
      <c r="C134" s="2033" t="s">
        <v>2621</v>
      </c>
      <c r="D134" s="2033" t="s">
        <v>2622</v>
      </c>
      <c r="E134" s="2033" t="s">
        <v>2623</v>
      </c>
      <c r="F134" s="2033" t="s">
        <v>2528</v>
      </c>
      <c r="G134" s="2033" t="s">
        <v>2624</v>
      </c>
      <c r="H134" s="2033" t="s">
        <v>22</v>
      </c>
      <c r="I134" s="2033" t="s">
        <v>854</v>
      </c>
    </row>
    <row r="135" spans="1:9" ht="11.25" customHeight="1">
      <c r="A135" s="2033" t="s">
        <v>2270</v>
      </c>
      <c r="B135" s="2033" t="s">
        <v>16</v>
      </c>
      <c r="C135" s="2033" t="s">
        <v>2625</v>
      </c>
      <c r="D135" s="2033" t="s">
        <v>2626</v>
      </c>
      <c r="E135" s="2033" t="s">
        <v>2627</v>
      </c>
      <c r="F135" s="2033" t="s">
        <v>2563</v>
      </c>
      <c r="G135" s="2033" t="s">
        <v>22</v>
      </c>
      <c r="H135" s="2033" t="s">
        <v>22</v>
      </c>
      <c r="I135" s="2033" t="s">
        <v>854</v>
      </c>
    </row>
    <row r="136" spans="1:9" ht="11.25" customHeight="1">
      <c r="A136" s="2033" t="s">
        <v>2270</v>
      </c>
      <c r="B136" s="2033" t="s">
        <v>16</v>
      </c>
      <c r="C136" s="2033" t="s">
        <v>2628</v>
      </c>
      <c r="D136" s="2033" t="s">
        <v>2629</v>
      </c>
      <c r="E136" s="2033" t="s">
        <v>2630</v>
      </c>
      <c r="F136" s="2033" t="s">
        <v>2563</v>
      </c>
      <c r="G136" s="2033" t="s">
        <v>22</v>
      </c>
      <c r="H136" s="2033" t="s">
        <v>22</v>
      </c>
      <c r="I136" s="2033" t="s">
        <v>854</v>
      </c>
    </row>
    <row r="137" spans="1:9" ht="11.25" customHeight="1">
      <c r="A137" s="2033" t="s">
        <v>2270</v>
      </c>
      <c r="B137" s="2033" t="s">
        <v>16</v>
      </c>
      <c r="C137" s="2033" t="s">
        <v>2631</v>
      </c>
      <c r="D137" s="2033" t="s">
        <v>2632</v>
      </c>
      <c r="E137" s="2033" t="s">
        <v>2633</v>
      </c>
      <c r="F137" s="2033" t="s">
        <v>2634</v>
      </c>
      <c r="G137" s="2033" t="s">
        <v>2635</v>
      </c>
      <c r="H137" s="2033" t="s">
        <v>22</v>
      </c>
      <c r="I137" s="2033" t="s">
        <v>854</v>
      </c>
    </row>
    <row r="138" spans="1:9" ht="11.25" customHeight="1">
      <c r="A138" s="2033" t="s">
        <v>2270</v>
      </c>
      <c r="B138" s="2033" t="s">
        <v>16</v>
      </c>
      <c r="C138" s="2033" t="s">
        <v>2636</v>
      </c>
      <c r="D138" s="2033" t="s">
        <v>2637</v>
      </c>
      <c r="E138" s="2033" t="s">
        <v>2638</v>
      </c>
      <c r="F138" s="2033" t="s">
        <v>2639</v>
      </c>
      <c r="G138" s="2033" t="s">
        <v>22</v>
      </c>
      <c r="H138" s="2033" t="s">
        <v>22</v>
      </c>
      <c r="I138" s="2033" t="s">
        <v>854</v>
      </c>
    </row>
    <row r="139" spans="1:9" ht="11.25" customHeight="1">
      <c r="A139" s="2033" t="s">
        <v>2270</v>
      </c>
      <c r="B139" s="2033" t="s">
        <v>16</v>
      </c>
      <c r="C139" s="2033" t="s">
        <v>2640</v>
      </c>
      <c r="D139" s="2033" t="s">
        <v>2641</v>
      </c>
      <c r="E139" s="2033" t="s">
        <v>2642</v>
      </c>
      <c r="F139" s="2033" t="s">
        <v>2287</v>
      </c>
      <c r="G139" s="2033" t="s">
        <v>2643</v>
      </c>
      <c r="H139" s="2033" t="s">
        <v>22</v>
      </c>
      <c r="I139" s="2033" t="s">
        <v>854</v>
      </c>
    </row>
    <row r="140" spans="1:9" ht="11.25" customHeight="1">
      <c r="A140" s="2033" t="s">
        <v>2270</v>
      </c>
      <c r="B140" s="2033" t="s">
        <v>16</v>
      </c>
      <c r="C140" s="2033" t="s">
        <v>2644</v>
      </c>
      <c r="D140" s="2033" t="s">
        <v>2645</v>
      </c>
      <c r="E140" s="2033" t="s">
        <v>2646</v>
      </c>
      <c r="F140" s="2033" t="s">
        <v>2504</v>
      </c>
      <c r="G140" s="2033" t="s">
        <v>22</v>
      </c>
      <c r="H140" s="2033" t="s">
        <v>22</v>
      </c>
      <c r="I140" s="2033" t="s">
        <v>854</v>
      </c>
    </row>
    <row r="141" spans="1:9" ht="11.25" customHeight="1">
      <c r="A141" s="2033" t="s">
        <v>2270</v>
      </c>
      <c r="B141" s="2033" t="s">
        <v>16</v>
      </c>
      <c r="C141" s="2033" t="s">
        <v>2647</v>
      </c>
      <c r="D141" s="2033" t="s">
        <v>2648</v>
      </c>
      <c r="E141" s="2033" t="s">
        <v>2649</v>
      </c>
      <c r="F141" s="2033" t="s">
        <v>2296</v>
      </c>
      <c r="G141" s="2033" t="s">
        <v>22</v>
      </c>
      <c r="H141" s="2033" t="s">
        <v>22</v>
      </c>
      <c r="I141" s="2033" t="s">
        <v>854</v>
      </c>
    </row>
    <row r="142" spans="1:9" ht="11.25" customHeight="1">
      <c r="A142" s="2033" t="s">
        <v>2270</v>
      </c>
      <c r="B142" s="2033" t="s">
        <v>16</v>
      </c>
      <c r="C142" s="2033" t="s">
        <v>2401</v>
      </c>
      <c r="D142" s="2033" t="s">
        <v>2402</v>
      </c>
      <c r="E142" s="2033" t="s">
        <v>2403</v>
      </c>
      <c r="F142" s="2033" t="s">
        <v>2296</v>
      </c>
      <c r="G142" s="2033" t="s">
        <v>22</v>
      </c>
      <c r="H142" s="2033" t="s">
        <v>22</v>
      </c>
      <c r="I142" s="2033" t="s">
        <v>854</v>
      </c>
    </row>
    <row r="143" spans="1:9" ht="11.25" customHeight="1">
      <c r="A143" s="2033" t="s">
        <v>2270</v>
      </c>
      <c r="B143" s="2033" t="s">
        <v>16</v>
      </c>
      <c r="C143" s="2033" t="s">
        <v>2404</v>
      </c>
      <c r="D143" s="2033" t="s">
        <v>2405</v>
      </c>
      <c r="E143" s="2033" t="s">
        <v>2406</v>
      </c>
      <c r="F143" s="2033" t="s">
        <v>2296</v>
      </c>
      <c r="G143" s="2033" t="s">
        <v>22</v>
      </c>
      <c r="H143" s="2033" t="s">
        <v>22</v>
      </c>
      <c r="I143" s="2033" t="s">
        <v>854</v>
      </c>
    </row>
    <row r="144" spans="1:9" ht="11.25" customHeight="1">
      <c r="A144" s="2033" t="s">
        <v>2270</v>
      </c>
      <c r="B144" s="2033" t="s">
        <v>16</v>
      </c>
      <c r="C144" s="2033" t="s">
        <v>2650</v>
      </c>
      <c r="D144" s="2033" t="s">
        <v>2651</v>
      </c>
      <c r="E144" s="2033" t="s">
        <v>2652</v>
      </c>
      <c r="F144" s="2033" t="s">
        <v>2410</v>
      </c>
      <c r="G144" s="2033" t="s">
        <v>22</v>
      </c>
      <c r="H144" s="2033" t="s">
        <v>22</v>
      </c>
      <c r="I144" s="2033" t="s">
        <v>854</v>
      </c>
    </row>
    <row r="145" spans="1:9" ht="11.25" customHeight="1">
      <c r="A145" s="2033" t="s">
        <v>2270</v>
      </c>
      <c r="B145" s="2033" t="s">
        <v>16</v>
      </c>
      <c r="C145" s="2033" t="s">
        <v>2653</v>
      </c>
      <c r="D145" s="2033" t="s">
        <v>2654</v>
      </c>
      <c r="E145" s="2033" t="s">
        <v>2655</v>
      </c>
      <c r="F145" s="2033" t="s">
        <v>2656</v>
      </c>
      <c r="G145" s="2033" t="s">
        <v>2657</v>
      </c>
      <c r="H145" s="2033" t="s">
        <v>22</v>
      </c>
      <c r="I145" s="2033" t="s">
        <v>854</v>
      </c>
    </row>
    <row r="146" spans="1:9" ht="11.25" customHeight="1">
      <c r="A146" s="2033" t="s">
        <v>2270</v>
      </c>
      <c r="B146" s="2033" t="s">
        <v>16</v>
      </c>
      <c r="C146" s="2033" t="s">
        <v>2658</v>
      </c>
      <c r="D146" s="2033" t="s">
        <v>2659</v>
      </c>
      <c r="E146" s="2033" t="s">
        <v>2660</v>
      </c>
      <c r="F146" s="2033" t="s">
        <v>2388</v>
      </c>
      <c r="G146" s="2033" t="s">
        <v>22</v>
      </c>
      <c r="H146" s="2033" t="s">
        <v>22</v>
      </c>
      <c r="I146" s="2033" t="s">
        <v>854</v>
      </c>
    </row>
    <row r="147" spans="1:9" ht="11.25" customHeight="1">
      <c r="A147" s="2033" t="s">
        <v>2270</v>
      </c>
      <c r="B147" s="2033" t="s">
        <v>16</v>
      </c>
      <c r="C147" s="2033" t="s">
        <v>2661</v>
      </c>
      <c r="D147" s="2033" t="s">
        <v>2662</v>
      </c>
      <c r="E147" s="2033" t="s">
        <v>2663</v>
      </c>
      <c r="F147" s="2033" t="s">
        <v>2372</v>
      </c>
      <c r="G147" s="2033" t="s">
        <v>2664</v>
      </c>
      <c r="H147" s="2033" t="s">
        <v>22</v>
      </c>
      <c r="I147" s="2033" t="s">
        <v>854</v>
      </c>
    </row>
    <row r="148" spans="1:9" ht="11.25" customHeight="1">
      <c r="A148" s="2033" t="s">
        <v>2270</v>
      </c>
      <c r="B148" s="2033" t="s">
        <v>16</v>
      </c>
      <c r="C148" s="2033" t="s">
        <v>2665</v>
      </c>
      <c r="D148" s="2033" t="s">
        <v>2666</v>
      </c>
      <c r="E148" s="2033" t="s">
        <v>2667</v>
      </c>
      <c r="F148" s="2033" t="s">
        <v>2563</v>
      </c>
      <c r="G148" s="2033" t="s">
        <v>2668</v>
      </c>
      <c r="H148" s="2033" t="s">
        <v>22</v>
      </c>
      <c r="I148" s="2033" t="s">
        <v>854</v>
      </c>
    </row>
    <row r="149" spans="1:9" ht="11.25" customHeight="1">
      <c r="A149" s="2033" t="s">
        <v>2270</v>
      </c>
      <c r="B149" s="2033" t="s">
        <v>16</v>
      </c>
      <c r="C149" s="2033" t="s">
        <v>2669</v>
      </c>
      <c r="D149" s="2033" t="s">
        <v>2670</v>
      </c>
      <c r="E149" s="2033" t="s">
        <v>2671</v>
      </c>
      <c r="F149" s="2033" t="s">
        <v>2296</v>
      </c>
      <c r="G149" s="2033" t="s">
        <v>22</v>
      </c>
      <c r="H149" s="2033" t="s">
        <v>22</v>
      </c>
      <c r="I149" s="2033" t="s">
        <v>854</v>
      </c>
    </row>
    <row r="150" spans="1:9" ht="11.25" customHeight="1">
      <c r="A150" s="2033" t="s">
        <v>2270</v>
      </c>
      <c r="B150" s="2033" t="s">
        <v>16</v>
      </c>
      <c r="C150" s="2033" t="s">
        <v>2672</v>
      </c>
      <c r="D150" s="2033" t="s">
        <v>2673</v>
      </c>
      <c r="E150" s="2033" t="s">
        <v>2674</v>
      </c>
      <c r="F150" s="2033" t="s">
        <v>2343</v>
      </c>
      <c r="G150" s="2033" t="s">
        <v>22</v>
      </c>
      <c r="H150" s="2033" t="s">
        <v>2675</v>
      </c>
      <c r="I150" s="2033" t="s">
        <v>854</v>
      </c>
    </row>
    <row r="151" spans="1:9" ht="11.25" customHeight="1">
      <c r="A151" s="2033" t="s">
        <v>2270</v>
      </c>
      <c r="B151" s="2033" t="s">
        <v>16</v>
      </c>
      <c r="C151" s="2033" t="s">
        <v>2676</v>
      </c>
      <c r="D151" s="2033" t="s">
        <v>2677</v>
      </c>
      <c r="E151" s="2033" t="s">
        <v>2678</v>
      </c>
      <c r="F151" s="2033" t="s">
        <v>2388</v>
      </c>
      <c r="G151" s="2033" t="s">
        <v>2329</v>
      </c>
      <c r="H151" s="2033" t="s">
        <v>22</v>
      </c>
      <c r="I151" s="2033" t="s">
        <v>854</v>
      </c>
    </row>
    <row r="152" spans="1:9" ht="11.25" customHeight="1">
      <c r="A152" s="2033" t="s">
        <v>2270</v>
      </c>
      <c r="B152" s="2033" t="s">
        <v>16</v>
      </c>
      <c r="C152" s="2033" t="s">
        <v>2679</v>
      </c>
      <c r="D152" s="2033" t="s">
        <v>2680</v>
      </c>
      <c r="E152" s="2033" t="s">
        <v>2681</v>
      </c>
      <c r="F152" s="2033" t="s">
        <v>2504</v>
      </c>
      <c r="G152" s="2033" t="s">
        <v>22</v>
      </c>
      <c r="H152" s="2033" t="s">
        <v>22</v>
      </c>
      <c r="I152" s="2033" t="s">
        <v>854</v>
      </c>
    </row>
    <row r="153" spans="1:9" ht="11.25" customHeight="1">
      <c r="A153" s="2033" t="s">
        <v>2270</v>
      </c>
      <c r="B153" s="2033" t="s">
        <v>16</v>
      </c>
      <c r="C153" s="2033" t="s">
        <v>2427</v>
      </c>
      <c r="D153" s="2033" t="s">
        <v>2428</v>
      </c>
      <c r="E153" s="2033" t="s">
        <v>2429</v>
      </c>
      <c r="F153" s="2033" t="s">
        <v>2296</v>
      </c>
      <c r="G153" s="2033" t="s">
        <v>22</v>
      </c>
      <c r="H153" s="2033" t="s">
        <v>22</v>
      </c>
      <c r="I153" s="2033" t="s">
        <v>854</v>
      </c>
    </row>
    <row r="154" spans="1:9" ht="11.25" customHeight="1">
      <c r="A154" s="2033" t="s">
        <v>2270</v>
      </c>
      <c r="B154" s="2033" t="s">
        <v>16</v>
      </c>
      <c r="C154" s="2033" t="s">
        <v>2682</v>
      </c>
      <c r="D154" s="2033" t="s">
        <v>2683</v>
      </c>
      <c r="E154" s="2033" t="s">
        <v>2684</v>
      </c>
      <c r="F154" s="2033" t="s">
        <v>2296</v>
      </c>
      <c r="G154" s="2033" t="s">
        <v>2685</v>
      </c>
      <c r="H154" s="2033" t="s">
        <v>22</v>
      </c>
      <c r="I154" s="2033" t="s">
        <v>854</v>
      </c>
    </row>
    <row r="155" spans="1:9" ht="11.25" customHeight="1">
      <c r="A155" s="2033" t="s">
        <v>2270</v>
      </c>
      <c r="B155" s="2033" t="s">
        <v>16</v>
      </c>
      <c r="C155" s="2033" t="s">
        <v>2434</v>
      </c>
      <c r="D155" s="2033" t="s">
        <v>2435</v>
      </c>
      <c r="E155" s="2033" t="s">
        <v>2436</v>
      </c>
      <c r="F155" s="2033" t="s">
        <v>2296</v>
      </c>
      <c r="G155" s="2033" t="s">
        <v>2437</v>
      </c>
      <c r="H155" s="2033" t="s">
        <v>22</v>
      </c>
      <c r="I155" s="2033" t="s">
        <v>854</v>
      </c>
    </row>
    <row r="156" spans="1:9" ht="11.25" customHeight="1">
      <c r="A156" s="2033" t="s">
        <v>2270</v>
      </c>
      <c r="B156" s="2033" t="s">
        <v>16</v>
      </c>
      <c r="C156" s="2033" t="s">
        <v>2686</v>
      </c>
      <c r="D156" s="2033" t="s">
        <v>2687</v>
      </c>
      <c r="E156" s="2033" t="s">
        <v>2688</v>
      </c>
      <c r="F156" s="2033" t="s">
        <v>2296</v>
      </c>
      <c r="G156" s="2033" t="s">
        <v>22</v>
      </c>
      <c r="H156" s="2033" t="s">
        <v>22</v>
      </c>
      <c r="I156" s="2033" t="s">
        <v>854</v>
      </c>
    </row>
    <row r="157" spans="1:9" ht="11.25" customHeight="1">
      <c r="A157" s="2033" t="s">
        <v>2270</v>
      </c>
      <c r="B157" s="2033" t="s">
        <v>16</v>
      </c>
      <c r="C157" s="2033" t="s">
        <v>2444</v>
      </c>
      <c r="D157" s="2033" t="s">
        <v>2445</v>
      </c>
      <c r="E157" s="2033" t="s">
        <v>2446</v>
      </c>
      <c r="F157" s="2033" t="s">
        <v>2447</v>
      </c>
      <c r="G157" s="2033" t="s">
        <v>22</v>
      </c>
      <c r="H157" s="2033" t="s">
        <v>22</v>
      </c>
      <c r="I157" s="2033" t="s">
        <v>854</v>
      </c>
    </row>
    <row r="158" spans="1:9" ht="11.25" customHeight="1">
      <c r="A158" s="2033" t="s">
        <v>2270</v>
      </c>
      <c r="B158" s="2033" t="s">
        <v>16</v>
      </c>
      <c r="C158" s="2033" t="s">
        <v>2689</v>
      </c>
      <c r="D158" s="2033" t="s">
        <v>2690</v>
      </c>
      <c r="E158" s="2033" t="s">
        <v>2691</v>
      </c>
      <c r="F158" s="2033" t="s">
        <v>2563</v>
      </c>
      <c r="G158" s="2033" t="s">
        <v>2692</v>
      </c>
      <c r="H158" s="2033" t="s">
        <v>22</v>
      </c>
      <c r="I158" s="2033" t="s">
        <v>854</v>
      </c>
    </row>
    <row r="159" spans="1:9" ht="11.25" customHeight="1">
      <c r="A159" s="2033" t="s">
        <v>2270</v>
      </c>
      <c r="B159" s="2033" t="s">
        <v>16</v>
      </c>
      <c r="C159" s="2033" t="s">
        <v>2448</v>
      </c>
      <c r="D159" s="2033" t="s">
        <v>2449</v>
      </c>
      <c r="E159" s="2033" t="s">
        <v>2450</v>
      </c>
      <c r="F159" s="2033" t="s">
        <v>2372</v>
      </c>
      <c r="G159" s="2033" t="s">
        <v>2451</v>
      </c>
      <c r="H159" s="2033" t="s">
        <v>22</v>
      </c>
      <c r="I159" s="2033" t="s">
        <v>854</v>
      </c>
    </row>
    <row r="160" spans="1:9" ht="11.25" customHeight="1">
      <c r="A160" s="2033" t="s">
        <v>2270</v>
      </c>
      <c r="B160" s="2033" t="s">
        <v>16</v>
      </c>
      <c r="C160" s="2033" t="s">
        <v>2693</v>
      </c>
      <c r="D160" s="2033" t="s">
        <v>2694</v>
      </c>
      <c r="E160" s="2033" t="s">
        <v>2695</v>
      </c>
      <c r="F160" s="2033" t="s">
        <v>2315</v>
      </c>
      <c r="G160" s="2033" t="s">
        <v>2696</v>
      </c>
      <c r="H160" s="2033" t="s">
        <v>22</v>
      </c>
      <c r="I160" s="2033" t="s">
        <v>854</v>
      </c>
    </row>
    <row r="161" spans="1:9" ht="11.25" customHeight="1">
      <c r="A161" s="2033" t="s">
        <v>2270</v>
      </c>
      <c r="B161" s="2033" t="s">
        <v>16</v>
      </c>
      <c r="C161" s="2033" t="s">
        <v>2697</v>
      </c>
      <c r="D161" s="2033" t="s">
        <v>2698</v>
      </c>
      <c r="E161" s="2033" t="s">
        <v>2699</v>
      </c>
      <c r="F161" s="2033" t="s">
        <v>50</v>
      </c>
      <c r="G161" s="2033" t="s">
        <v>2700</v>
      </c>
      <c r="H161" s="2033" t="s">
        <v>22</v>
      </c>
      <c r="I161" s="2033" t="s">
        <v>854</v>
      </c>
    </row>
    <row r="162" spans="1:9" ht="11.25" customHeight="1">
      <c r="A162" s="2033" t="s">
        <v>2270</v>
      </c>
      <c r="B162" s="2033" t="s">
        <v>16</v>
      </c>
      <c r="C162" s="2033" t="s">
        <v>2701</v>
      </c>
      <c r="D162" s="2033" t="s">
        <v>2702</v>
      </c>
      <c r="E162" s="2033" t="s">
        <v>2703</v>
      </c>
      <c r="F162" s="2033" t="s">
        <v>2563</v>
      </c>
      <c r="G162" s="2033" t="s">
        <v>22</v>
      </c>
      <c r="H162" s="2033" t="s">
        <v>22</v>
      </c>
      <c r="I162" s="2033" t="s">
        <v>854</v>
      </c>
    </row>
    <row r="163" spans="1:9" ht="11.25" customHeight="1">
      <c r="A163" s="2033" t="s">
        <v>2270</v>
      </c>
      <c r="B163" s="2033" t="s">
        <v>16</v>
      </c>
      <c r="C163" s="2033" t="s">
        <v>2704</v>
      </c>
      <c r="D163" s="2033" t="s">
        <v>2705</v>
      </c>
      <c r="E163" s="2033" t="s">
        <v>2706</v>
      </c>
      <c r="F163" s="2033" t="s">
        <v>2563</v>
      </c>
      <c r="G163" s="2033" t="s">
        <v>2707</v>
      </c>
      <c r="H163" s="2033" t="s">
        <v>22</v>
      </c>
      <c r="I163" s="2033" t="s">
        <v>854</v>
      </c>
    </row>
    <row r="164" spans="1:9" ht="11.25" customHeight="1">
      <c r="A164" s="2033" t="s">
        <v>2270</v>
      </c>
      <c r="B164" s="2033" t="s">
        <v>16</v>
      </c>
      <c r="C164" s="2033" t="s">
        <v>2708</v>
      </c>
      <c r="D164" s="2033" t="s">
        <v>2709</v>
      </c>
      <c r="E164" s="2033" t="s">
        <v>2710</v>
      </c>
      <c r="F164" s="2033" t="s">
        <v>2563</v>
      </c>
      <c r="G164" s="2033" t="s">
        <v>2711</v>
      </c>
      <c r="H164" s="2033" t="s">
        <v>2643</v>
      </c>
      <c r="I164" s="2033" t="s">
        <v>854</v>
      </c>
    </row>
    <row r="165" spans="1:9" ht="11.25" customHeight="1">
      <c r="A165" s="2033" t="s">
        <v>2270</v>
      </c>
      <c r="B165" s="2033" t="s">
        <v>16</v>
      </c>
      <c r="C165" s="2033" t="s">
        <v>2712</v>
      </c>
      <c r="D165" s="2033" t="s">
        <v>2713</v>
      </c>
      <c r="E165" s="2033" t="s">
        <v>2714</v>
      </c>
      <c r="F165" s="2033" t="s">
        <v>2410</v>
      </c>
      <c r="G165" s="2033" t="s">
        <v>22</v>
      </c>
      <c r="H165" s="2033" t="s">
        <v>22</v>
      </c>
      <c r="I165" s="2033" t="s">
        <v>854</v>
      </c>
    </row>
    <row r="166" spans="1:9" ht="11.25" customHeight="1">
      <c r="A166" s="2033" t="s">
        <v>2270</v>
      </c>
      <c r="B166" s="2033" t="s">
        <v>16</v>
      </c>
      <c r="C166" s="2033" t="s">
        <v>2455</v>
      </c>
      <c r="D166" s="2033" t="s">
        <v>2456</v>
      </c>
      <c r="E166" s="2033" t="s">
        <v>2457</v>
      </c>
      <c r="F166" s="2033" t="s">
        <v>2306</v>
      </c>
      <c r="G166" s="2033" t="s">
        <v>2458</v>
      </c>
      <c r="H166" s="2033" t="s">
        <v>22</v>
      </c>
      <c r="I166" s="2033" t="s">
        <v>854</v>
      </c>
    </row>
    <row r="167" spans="1:9" ht="11.25" customHeight="1">
      <c r="A167" s="2033" t="s">
        <v>2270</v>
      </c>
      <c r="B167" s="2033" t="s">
        <v>16</v>
      </c>
      <c r="C167" s="2033" t="s">
        <v>2462</v>
      </c>
      <c r="D167" s="2033" t="s">
        <v>2463</v>
      </c>
      <c r="E167" s="2033" t="s">
        <v>2464</v>
      </c>
      <c r="F167" s="2033" t="s">
        <v>2465</v>
      </c>
      <c r="G167" s="2033" t="s">
        <v>22</v>
      </c>
      <c r="H167" s="2033" t="s">
        <v>22</v>
      </c>
      <c r="I167" s="2033" t="s">
        <v>854</v>
      </c>
    </row>
    <row r="168" spans="1:9" ht="11.25" customHeight="1">
      <c r="A168" s="2033" t="s">
        <v>2270</v>
      </c>
      <c r="B168" s="2033" t="s">
        <v>16</v>
      </c>
      <c r="C168" s="2033" t="s">
        <v>2469</v>
      </c>
      <c r="D168" s="2033" t="s">
        <v>2470</v>
      </c>
      <c r="E168" s="2033" t="s">
        <v>2471</v>
      </c>
      <c r="F168" s="2033" t="s">
        <v>50</v>
      </c>
      <c r="G168" s="2033" t="s">
        <v>2472</v>
      </c>
      <c r="H168" s="2033" t="s">
        <v>22</v>
      </c>
      <c r="I168" s="2033" t="s">
        <v>854</v>
      </c>
    </row>
    <row r="169" spans="1:9" ht="11.25" customHeight="1">
      <c r="A169" s="2033" t="s">
        <v>2270</v>
      </c>
      <c r="B169" s="2033" t="s">
        <v>16</v>
      </c>
      <c r="C169" s="2033" t="s">
        <v>2473</v>
      </c>
      <c r="D169" s="2033" t="s">
        <v>2474</v>
      </c>
      <c r="E169" s="2033" t="s">
        <v>2475</v>
      </c>
      <c r="F169" s="2033" t="s">
        <v>50</v>
      </c>
      <c r="G169" s="2033" t="s">
        <v>2476</v>
      </c>
      <c r="H169" s="2033" t="s">
        <v>22</v>
      </c>
      <c r="I169" s="2033" t="s">
        <v>854</v>
      </c>
    </row>
    <row r="170" spans="1:9" ht="11.25" customHeight="1">
      <c r="A170" s="2033" t="s">
        <v>2270</v>
      </c>
      <c r="B170" s="2033" t="s">
        <v>16</v>
      </c>
      <c r="C170" s="2033" t="s">
        <v>2715</v>
      </c>
      <c r="D170" s="2033" t="s">
        <v>2716</v>
      </c>
      <c r="E170" s="2033" t="s">
        <v>2717</v>
      </c>
      <c r="F170" s="2033" t="s">
        <v>2296</v>
      </c>
      <c r="G170" s="2033" t="s">
        <v>2718</v>
      </c>
      <c r="H170" s="2033" t="s">
        <v>22</v>
      </c>
      <c r="I170" s="2033" t="s">
        <v>854</v>
      </c>
    </row>
    <row r="171" spans="1:9" ht="11.25" customHeight="1">
      <c r="A171" s="2033" t="s">
        <v>2270</v>
      </c>
      <c r="B171" s="2033" t="s">
        <v>16</v>
      </c>
      <c r="C171" s="2033" t="s">
        <v>2485</v>
      </c>
      <c r="D171" s="2033" t="s">
        <v>2486</v>
      </c>
      <c r="E171" s="2033" t="s">
        <v>2487</v>
      </c>
      <c r="F171" s="2033" t="s">
        <v>2488</v>
      </c>
      <c r="G171" s="2033" t="s">
        <v>2489</v>
      </c>
      <c r="H171" s="2033" t="s">
        <v>22</v>
      </c>
      <c r="I171" s="2033" t="s">
        <v>854</v>
      </c>
    </row>
    <row r="172" spans="1:9" ht="11.25" customHeight="1">
      <c r="A172" s="2033" t="s">
        <v>2270</v>
      </c>
      <c r="B172" s="2033" t="s">
        <v>16</v>
      </c>
      <c r="C172" s="2033" t="s">
        <v>2719</v>
      </c>
      <c r="D172" s="2033" t="s">
        <v>2720</v>
      </c>
      <c r="E172" s="2033" t="s">
        <v>2487</v>
      </c>
      <c r="F172" s="2033" t="s">
        <v>2721</v>
      </c>
      <c r="G172" s="2033" t="s">
        <v>2722</v>
      </c>
      <c r="H172" s="2033" t="s">
        <v>22</v>
      </c>
      <c r="I172" s="2033" t="s">
        <v>854</v>
      </c>
    </row>
    <row r="173" spans="1:9" ht="11.25" customHeight="1">
      <c r="A173" s="2033" t="s">
        <v>2270</v>
      </c>
      <c r="B173" s="2033" t="s">
        <v>16</v>
      </c>
      <c r="C173" s="2033" t="s">
        <v>2490</v>
      </c>
      <c r="D173" s="2033" t="s">
        <v>2491</v>
      </c>
      <c r="E173" s="2033" t="s">
        <v>2464</v>
      </c>
      <c r="F173" s="2033" t="s">
        <v>2492</v>
      </c>
      <c r="G173" s="2033" t="s">
        <v>22</v>
      </c>
      <c r="H173" s="2033" t="s">
        <v>22</v>
      </c>
      <c r="I173" s="2033" t="s">
        <v>854</v>
      </c>
    </row>
    <row r="174" spans="1:9" ht="11.25" customHeight="1">
      <c r="A174" s="2033" t="s">
        <v>2270</v>
      </c>
      <c r="B174" s="2033" t="s">
        <v>16</v>
      </c>
      <c r="C174" s="2033" t="s">
        <v>2497</v>
      </c>
      <c r="D174" s="2033" t="s">
        <v>2498</v>
      </c>
      <c r="E174" s="2033" t="s">
        <v>2499</v>
      </c>
      <c r="F174" s="2033" t="s">
        <v>2360</v>
      </c>
      <c r="G174" s="2033" t="s">
        <v>2500</v>
      </c>
      <c r="H174" s="2033" t="s">
        <v>22</v>
      </c>
      <c r="I174" s="2033" t="s">
        <v>907</v>
      </c>
    </row>
    <row r="175" spans="1:9" ht="11.25" customHeight="1">
      <c r="A175" s="2033" t="s">
        <v>2270</v>
      </c>
      <c r="B175" s="2033" t="s">
        <v>16</v>
      </c>
      <c r="C175" s="2033" t="s">
        <v>2275</v>
      </c>
      <c r="D175" s="2033" t="s">
        <v>2272</v>
      </c>
      <c r="E175" s="2033" t="s">
        <v>2273</v>
      </c>
      <c r="F175" s="2033" t="s">
        <v>2276</v>
      </c>
      <c r="G175" s="2033" t="s">
        <v>22</v>
      </c>
      <c r="H175" s="2033" t="s">
        <v>22</v>
      </c>
      <c r="I175" s="2033" t="s">
        <v>907</v>
      </c>
    </row>
    <row r="176" spans="1:9" ht="11.25" customHeight="1">
      <c r="A176" s="2033" t="s">
        <v>2270</v>
      </c>
      <c r="B176" s="2033" t="s">
        <v>16</v>
      </c>
      <c r="C176" s="2033" t="s">
        <v>2284</v>
      </c>
      <c r="D176" s="2033" t="s">
        <v>2285</v>
      </c>
      <c r="E176" s="2033" t="s">
        <v>2286</v>
      </c>
      <c r="F176" s="2033" t="s">
        <v>2287</v>
      </c>
      <c r="G176" s="2033" t="s">
        <v>2288</v>
      </c>
      <c r="H176" s="2033" t="s">
        <v>22</v>
      </c>
      <c r="I176" s="2033" t="s">
        <v>907</v>
      </c>
    </row>
    <row r="177" spans="1:9" ht="11.25" customHeight="1">
      <c r="A177" s="2033" t="s">
        <v>2270</v>
      </c>
      <c r="B177" s="2033" t="s">
        <v>16</v>
      </c>
      <c r="C177" s="2033" t="s">
        <v>2509</v>
      </c>
      <c r="D177" s="2033" t="s">
        <v>2510</v>
      </c>
      <c r="E177" s="2033" t="s">
        <v>2511</v>
      </c>
      <c r="F177" s="2033" t="s">
        <v>2504</v>
      </c>
      <c r="G177" s="2033" t="s">
        <v>2512</v>
      </c>
      <c r="H177" s="2033" t="s">
        <v>22</v>
      </c>
      <c r="I177" s="2033" t="s">
        <v>907</v>
      </c>
    </row>
    <row r="178" spans="1:9" ht="11.25" customHeight="1">
      <c r="A178" s="2033" t="s">
        <v>2270</v>
      </c>
      <c r="B178" s="2033" t="s">
        <v>16</v>
      </c>
      <c r="C178" s="2033" t="s">
        <v>2289</v>
      </c>
      <c r="D178" s="2033" t="s">
        <v>2290</v>
      </c>
      <c r="E178" s="2033" t="s">
        <v>2291</v>
      </c>
      <c r="F178" s="2033" t="s">
        <v>50</v>
      </c>
      <c r="G178" s="2033" t="s">
        <v>22</v>
      </c>
      <c r="H178" s="2033" t="s">
        <v>2292</v>
      </c>
      <c r="I178" s="2033" t="s">
        <v>907</v>
      </c>
    </row>
    <row r="179" spans="1:9" ht="11.25" customHeight="1">
      <c r="A179" s="2033" t="s">
        <v>2270</v>
      </c>
      <c r="B179" s="2033" t="s">
        <v>16</v>
      </c>
      <c r="C179" s="2033" t="s">
        <v>2297</v>
      </c>
      <c r="D179" s="2033" t="s">
        <v>2298</v>
      </c>
      <c r="E179" s="2033" t="s">
        <v>2299</v>
      </c>
      <c r="F179" s="2033" t="s">
        <v>2296</v>
      </c>
      <c r="G179" s="2033" t="s">
        <v>2300</v>
      </c>
      <c r="H179" s="2033" t="s">
        <v>2288</v>
      </c>
      <c r="I179" s="2033" t="s">
        <v>907</v>
      </c>
    </row>
    <row r="180" spans="1:9" ht="11.25" customHeight="1">
      <c r="A180" s="2033" t="s">
        <v>2270</v>
      </c>
      <c r="B180" s="2033" t="s">
        <v>16</v>
      </c>
      <c r="C180" s="2033" t="s">
        <v>22</v>
      </c>
      <c r="D180" s="2033" t="s">
        <v>2301</v>
      </c>
      <c r="E180" s="2033" t="s">
        <v>2302</v>
      </c>
      <c r="F180" s="2033" t="s">
        <v>50</v>
      </c>
      <c r="G180" s="2033" t="s">
        <v>22</v>
      </c>
      <c r="H180" s="2033" t="s">
        <v>22</v>
      </c>
      <c r="I180" s="2033" t="s">
        <v>907</v>
      </c>
    </row>
    <row r="181" spans="1:9" ht="11.25" customHeight="1">
      <c r="A181" s="2033" t="s">
        <v>2270</v>
      </c>
      <c r="B181" s="2033" t="s">
        <v>16</v>
      </c>
      <c r="C181" s="2033" t="s">
        <v>2312</v>
      </c>
      <c r="D181" s="2033" t="s">
        <v>2313</v>
      </c>
      <c r="E181" s="2033" t="s">
        <v>2314</v>
      </c>
      <c r="F181" s="2033" t="s">
        <v>2315</v>
      </c>
      <c r="G181" s="2033" t="s">
        <v>2316</v>
      </c>
      <c r="H181" s="2033" t="s">
        <v>22</v>
      </c>
      <c r="I181" s="2033" t="s">
        <v>907</v>
      </c>
    </row>
    <row r="182" spans="1:9" ht="11.25" customHeight="1">
      <c r="A182" s="2033" t="s">
        <v>2270</v>
      </c>
      <c r="B182" s="2033" t="s">
        <v>16</v>
      </c>
      <c r="C182" s="2033" t="s">
        <v>2525</v>
      </c>
      <c r="D182" s="2033" t="s">
        <v>2526</v>
      </c>
      <c r="E182" s="2033" t="s">
        <v>2527</v>
      </c>
      <c r="F182" s="2033" t="s">
        <v>2528</v>
      </c>
      <c r="G182" s="2033" t="s">
        <v>2529</v>
      </c>
      <c r="H182" s="2033" t="s">
        <v>22</v>
      </c>
      <c r="I182" s="2033" t="s">
        <v>907</v>
      </c>
    </row>
    <row r="183" spans="1:9" ht="11.25" customHeight="1">
      <c r="A183" s="2033" t="s">
        <v>2270</v>
      </c>
      <c r="B183" s="2033" t="s">
        <v>16</v>
      </c>
      <c r="C183" s="2033" t="s">
        <v>2530</v>
      </c>
      <c r="D183" s="2033" t="s">
        <v>2531</v>
      </c>
      <c r="E183" s="2033" t="s">
        <v>2532</v>
      </c>
      <c r="F183" s="2033" t="s">
        <v>2418</v>
      </c>
      <c r="G183" s="2033" t="s">
        <v>2533</v>
      </c>
      <c r="H183" s="2033" t="s">
        <v>22</v>
      </c>
      <c r="I183" s="2033" t="s">
        <v>907</v>
      </c>
    </row>
    <row r="184" spans="1:9" ht="11.25" customHeight="1">
      <c r="A184" s="2033" t="s">
        <v>2270</v>
      </c>
      <c r="B184" s="2033" t="s">
        <v>16</v>
      </c>
      <c r="C184" s="2033" t="s">
        <v>2534</v>
      </c>
      <c r="D184" s="2033" t="s">
        <v>45</v>
      </c>
      <c r="E184" s="2033" t="s">
        <v>2535</v>
      </c>
      <c r="F184" s="2033" t="s">
        <v>2306</v>
      </c>
      <c r="G184" s="2033" t="s">
        <v>2536</v>
      </c>
      <c r="H184" s="2033" t="s">
        <v>22</v>
      </c>
      <c r="I184" s="2033" t="s">
        <v>907</v>
      </c>
    </row>
    <row r="185" spans="1:9" ht="11.25" customHeight="1">
      <c r="A185" s="2033" t="s">
        <v>2270</v>
      </c>
      <c r="B185" s="2033" t="s">
        <v>16</v>
      </c>
      <c r="C185" s="2033" t="s">
        <v>2537</v>
      </c>
      <c r="D185" s="2033" t="s">
        <v>45</v>
      </c>
      <c r="E185" s="2033" t="s">
        <v>2538</v>
      </c>
      <c r="F185" s="2033" t="s">
        <v>2384</v>
      </c>
      <c r="G185" s="2033" t="s">
        <v>2508</v>
      </c>
      <c r="H185" s="2033" t="s">
        <v>22</v>
      </c>
      <c r="I185" s="2033" t="s">
        <v>907</v>
      </c>
    </row>
    <row r="186" spans="1:9" ht="11.25" customHeight="1">
      <c r="A186" s="2033" t="s">
        <v>2270</v>
      </c>
      <c r="B186" s="2033" t="s">
        <v>16</v>
      </c>
      <c r="C186" s="2033" t="s">
        <v>13</v>
      </c>
      <c r="D186" s="2033" t="s">
        <v>45</v>
      </c>
      <c r="E186" s="2033" t="s">
        <v>48</v>
      </c>
      <c r="F186" s="2033" t="s">
        <v>50</v>
      </c>
      <c r="G186" s="2033" t="s">
        <v>2539</v>
      </c>
      <c r="H186" s="2033" t="s">
        <v>22</v>
      </c>
      <c r="I186" s="2033" t="s">
        <v>907</v>
      </c>
    </row>
    <row r="187" spans="1:9" ht="11.25" customHeight="1">
      <c r="A187" s="2033" t="s">
        <v>2270</v>
      </c>
      <c r="B187" s="2033" t="s">
        <v>16</v>
      </c>
      <c r="C187" s="2033" t="s">
        <v>2540</v>
      </c>
      <c r="D187" s="2033" t="s">
        <v>45</v>
      </c>
      <c r="E187" s="2033" t="s">
        <v>2541</v>
      </c>
      <c r="F187" s="2033" t="s">
        <v>2324</v>
      </c>
      <c r="G187" s="2033" t="s">
        <v>22</v>
      </c>
      <c r="H187" s="2033" t="s">
        <v>22</v>
      </c>
      <c r="I187" s="2033" t="s">
        <v>907</v>
      </c>
    </row>
    <row r="188" spans="1:9" ht="11.25" customHeight="1">
      <c r="A188" s="2033" t="s">
        <v>2270</v>
      </c>
      <c r="B188" s="2033" t="s">
        <v>16</v>
      </c>
      <c r="C188" s="2033" t="s">
        <v>2542</v>
      </c>
      <c r="D188" s="2033" t="s">
        <v>2543</v>
      </c>
      <c r="E188" s="2033" t="s">
        <v>2544</v>
      </c>
      <c r="F188" s="2033" t="s">
        <v>2339</v>
      </c>
      <c r="G188" s="2033" t="s">
        <v>22</v>
      </c>
      <c r="H188" s="2033" t="s">
        <v>22</v>
      </c>
      <c r="I188" s="2033" t="s">
        <v>907</v>
      </c>
    </row>
    <row r="189" spans="1:9" ht="11.25" customHeight="1">
      <c r="A189" s="2033" t="s">
        <v>2270</v>
      </c>
      <c r="B189" s="2033" t="s">
        <v>16</v>
      </c>
      <c r="C189" s="2033" t="s">
        <v>2545</v>
      </c>
      <c r="D189" s="2033" t="s">
        <v>2546</v>
      </c>
      <c r="E189" s="2033" t="s">
        <v>2547</v>
      </c>
      <c r="F189" s="2033" t="s">
        <v>2388</v>
      </c>
      <c r="G189" s="2033" t="s">
        <v>22</v>
      </c>
      <c r="H189" s="2033" t="s">
        <v>22</v>
      </c>
      <c r="I189" s="2033" t="s">
        <v>907</v>
      </c>
    </row>
    <row r="190" spans="1:9" ht="11.25" customHeight="1">
      <c r="A190" s="2033" t="s">
        <v>2270</v>
      </c>
      <c r="B190" s="2033" t="s">
        <v>16</v>
      </c>
      <c r="C190" s="2033" t="s">
        <v>2548</v>
      </c>
      <c r="D190" s="2033" t="s">
        <v>2549</v>
      </c>
      <c r="E190" s="2033" t="s">
        <v>2550</v>
      </c>
      <c r="F190" s="2033" t="s">
        <v>2528</v>
      </c>
      <c r="G190" s="2033" t="s">
        <v>2551</v>
      </c>
      <c r="H190" s="2033" t="s">
        <v>22</v>
      </c>
      <c r="I190" s="2033" t="s">
        <v>907</v>
      </c>
    </row>
    <row r="191" spans="1:9" ht="11.25" customHeight="1">
      <c r="A191" s="2033" t="s">
        <v>2270</v>
      </c>
      <c r="B191" s="2033" t="s">
        <v>16</v>
      </c>
      <c r="C191" s="2033" t="s">
        <v>2321</v>
      </c>
      <c r="D191" s="2033" t="s">
        <v>2322</v>
      </c>
      <c r="E191" s="2033" t="s">
        <v>2323</v>
      </c>
      <c r="F191" s="2033" t="s">
        <v>2324</v>
      </c>
      <c r="G191" s="2033" t="s">
        <v>2325</v>
      </c>
      <c r="H191" s="2033" t="s">
        <v>22</v>
      </c>
      <c r="I191" s="2033" t="s">
        <v>907</v>
      </c>
    </row>
    <row r="192" spans="1:9" ht="11.25" customHeight="1">
      <c r="A192" s="2033" t="s">
        <v>2270</v>
      </c>
      <c r="B192" s="2033" t="s">
        <v>16</v>
      </c>
      <c r="C192" s="2033" t="s">
        <v>2552</v>
      </c>
      <c r="D192" s="2033" t="s">
        <v>2553</v>
      </c>
      <c r="E192" s="2033" t="s">
        <v>2554</v>
      </c>
      <c r="F192" s="2033" t="s">
        <v>2306</v>
      </c>
      <c r="G192" s="2033" t="s">
        <v>2555</v>
      </c>
      <c r="H192" s="2033" t="s">
        <v>22</v>
      </c>
      <c r="I192" s="2033" t="s">
        <v>907</v>
      </c>
    </row>
    <row r="193" spans="1:9" ht="11.25" customHeight="1">
      <c r="A193" s="2033" t="s">
        <v>2270</v>
      </c>
      <c r="B193" s="2033" t="s">
        <v>16</v>
      </c>
      <c r="C193" s="2033" t="s">
        <v>2556</v>
      </c>
      <c r="D193" s="2033" t="s">
        <v>2557</v>
      </c>
      <c r="E193" s="2033" t="s">
        <v>2558</v>
      </c>
      <c r="F193" s="2033" t="s">
        <v>2410</v>
      </c>
      <c r="G193" s="2033" t="s">
        <v>2559</v>
      </c>
      <c r="H193" s="2033" t="s">
        <v>22</v>
      </c>
      <c r="I193" s="2033" t="s">
        <v>907</v>
      </c>
    </row>
    <row r="194" spans="1:9" ht="11.25" customHeight="1">
      <c r="A194" s="2033" t="s">
        <v>2270</v>
      </c>
      <c r="B194" s="2033" t="s">
        <v>16</v>
      </c>
      <c r="C194" s="2033" t="s">
        <v>2560</v>
      </c>
      <c r="D194" s="2033" t="s">
        <v>2561</v>
      </c>
      <c r="E194" s="2033" t="s">
        <v>2562</v>
      </c>
      <c r="F194" s="2033" t="s">
        <v>2563</v>
      </c>
      <c r="G194" s="2033" t="s">
        <v>2564</v>
      </c>
      <c r="H194" s="2033" t="s">
        <v>22</v>
      </c>
      <c r="I194" s="2033" t="s">
        <v>907</v>
      </c>
    </row>
    <row r="195" spans="1:9" ht="11.25" customHeight="1">
      <c r="A195" s="2033" t="s">
        <v>2270</v>
      </c>
      <c r="B195" s="2033" t="s">
        <v>16</v>
      </c>
      <c r="C195" s="2033" t="s">
        <v>2565</v>
      </c>
      <c r="D195" s="2033" t="s">
        <v>2566</v>
      </c>
      <c r="E195" s="2033" t="s">
        <v>2567</v>
      </c>
      <c r="F195" s="2033" t="s">
        <v>2523</v>
      </c>
      <c r="G195" s="2033" t="s">
        <v>2568</v>
      </c>
      <c r="H195" s="2033" t="s">
        <v>22</v>
      </c>
      <c r="I195" s="2033" t="s">
        <v>907</v>
      </c>
    </row>
    <row r="196" spans="1:9" ht="11.25" customHeight="1">
      <c r="A196" s="2033" t="s">
        <v>2270</v>
      </c>
      <c r="B196" s="2033" t="s">
        <v>16</v>
      </c>
      <c r="C196" s="2033" t="s">
        <v>2336</v>
      </c>
      <c r="D196" s="2033" t="s">
        <v>2337</v>
      </c>
      <c r="E196" s="2033" t="s">
        <v>2338</v>
      </c>
      <c r="F196" s="2033" t="s">
        <v>2339</v>
      </c>
      <c r="G196" s="2033" t="s">
        <v>22</v>
      </c>
      <c r="H196" s="2033" t="s">
        <v>22</v>
      </c>
      <c r="I196" s="2033" t="s">
        <v>907</v>
      </c>
    </row>
    <row r="197" spans="1:9" ht="11.25" customHeight="1">
      <c r="A197" s="2033" t="s">
        <v>2270</v>
      </c>
      <c r="B197" s="2033" t="s">
        <v>16</v>
      </c>
      <c r="C197" s="2033" t="s">
        <v>2340</v>
      </c>
      <c r="D197" s="2033" t="s">
        <v>2341</v>
      </c>
      <c r="E197" s="2033" t="s">
        <v>2342</v>
      </c>
      <c r="F197" s="2033" t="s">
        <v>2343</v>
      </c>
      <c r="G197" s="2033" t="s">
        <v>2344</v>
      </c>
      <c r="H197" s="2033" t="s">
        <v>2345</v>
      </c>
      <c r="I197" s="2033" t="s">
        <v>907</v>
      </c>
    </row>
    <row r="198" spans="1:9" ht="11.25" customHeight="1">
      <c r="A198" s="2033" t="s">
        <v>2270</v>
      </c>
      <c r="B198" s="2033" t="s">
        <v>16</v>
      </c>
      <c r="C198" s="2033" t="s">
        <v>2569</v>
      </c>
      <c r="D198" s="2033" t="s">
        <v>2570</v>
      </c>
      <c r="E198" s="2033" t="s">
        <v>2571</v>
      </c>
      <c r="F198" s="2033" t="s">
        <v>2296</v>
      </c>
      <c r="G198" s="2033" t="s">
        <v>2572</v>
      </c>
      <c r="H198" s="2033" t="s">
        <v>22</v>
      </c>
      <c r="I198" s="2033" t="s">
        <v>907</v>
      </c>
    </row>
    <row r="199" spans="1:9" ht="11.25" customHeight="1">
      <c r="A199" s="2033" t="s">
        <v>2270</v>
      </c>
      <c r="B199" s="2033" t="s">
        <v>16</v>
      </c>
      <c r="C199" s="2033" t="s">
        <v>2577</v>
      </c>
      <c r="D199" s="2033" t="s">
        <v>2578</v>
      </c>
      <c r="E199" s="2033" t="s">
        <v>2579</v>
      </c>
      <c r="F199" s="2033" t="s">
        <v>2504</v>
      </c>
      <c r="G199" s="2033" t="s">
        <v>22</v>
      </c>
      <c r="H199" s="2033" t="s">
        <v>22</v>
      </c>
      <c r="I199" s="2033" t="s">
        <v>907</v>
      </c>
    </row>
    <row r="200" spans="1:9" ht="11.25" customHeight="1">
      <c r="A200" s="2033" t="s">
        <v>2270</v>
      </c>
      <c r="B200" s="2033" t="s">
        <v>16</v>
      </c>
      <c r="C200" s="2033" t="s">
        <v>2580</v>
      </c>
      <c r="D200" s="2033" t="s">
        <v>2581</v>
      </c>
      <c r="E200" s="2033" t="s">
        <v>2582</v>
      </c>
      <c r="F200" s="2033" t="s">
        <v>50</v>
      </c>
      <c r="G200" s="2033" t="s">
        <v>22</v>
      </c>
      <c r="H200" s="2033" t="s">
        <v>22</v>
      </c>
      <c r="I200" s="2033" t="s">
        <v>907</v>
      </c>
    </row>
    <row r="201" spans="1:9" ht="11.25" customHeight="1">
      <c r="A201" s="2033" t="s">
        <v>2270</v>
      </c>
      <c r="B201" s="2033" t="s">
        <v>16</v>
      </c>
      <c r="C201" s="2033" t="s">
        <v>2583</v>
      </c>
      <c r="D201" s="2033" t="s">
        <v>2584</v>
      </c>
      <c r="E201" s="2033" t="s">
        <v>2585</v>
      </c>
      <c r="F201" s="2033" t="s">
        <v>2528</v>
      </c>
      <c r="G201" s="2033" t="s">
        <v>2586</v>
      </c>
      <c r="H201" s="2033" t="s">
        <v>22</v>
      </c>
      <c r="I201" s="2033" t="s">
        <v>907</v>
      </c>
    </row>
    <row r="202" spans="1:9" ht="11.25" customHeight="1">
      <c r="A202" s="2033" t="s">
        <v>2270</v>
      </c>
      <c r="B202" s="2033" t="s">
        <v>16</v>
      </c>
      <c r="C202" s="2033" t="s">
        <v>2595</v>
      </c>
      <c r="D202" s="2033" t="s">
        <v>2596</v>
      </c>
      <c r="E202" s="2033" t="s">
        <v>2597</v>
      </c>
      <c r="F202" s="2033" t="s">
        <v>2563</v>
      </c>
      <c r="G202" s="2033" t="s">
        <v>22</v>
      </c>
      <c r="H202" s="2033" t="s">
        <v>22</v>
      </c>
      <c r="I202" s="2033" t="s">
        <v>907</v>
      </c>
    </row>
    <row r="203" spans="1:9" ht="11.25" customHeight="1">
      <c r="A203" s="2033" t="s">
        <v>2270</v>
      </c>
      <c r="B203" s="2033" t="s">
        <v>16</v>
      </c>
      <c r="C203" s="2033" t="s">
        <v>2598</v>
      </c>
      <c r="D203" s="2033" t="s">
        <v>2599</v>
      </c>
      <c r="E203" s="2033" t="s">
        <v>2600</v>
      </c>
      <c r="F203" s="2033" t="s">
        <v>2372</v>
      </c>
      <c r="G203" s="2033" t="s">
        <v>2601</v>
      </c>
      <c r="H203" s="2033" t="s">
        <v>22</v>
      </c>
      <c r="I203" s="2033" t="s">
        <v>907</v>
      </c>
    </row>
    <row r="204" spans="1:9" ht="11.25" customHeight="1">
      <c r="A204" s="2033" t="s">
        <v>2270</v>
      </c>
      <c r="B204" s="2033" t="s">
        <v>16</v>
      </c>
      <c r="C204" s="2033" t="s">
        <v>2602</v>
      </c>
      <c r="D204" s="2033" t="s">
        <v>2603</v>
      </c>
      <c r="E204" s="2033" t="s">
        <v>2604</v>
      </c>
      <c r="F204" s="2033" t="s">
        <v>2339</v>
      </c>
      <c r="G204" s="2033" t="s">
        <v>22</v>
      </c>
      <c r="H204" s="2033" t="s">
        <v>22</v>
      </c>
      <c r="I204" s="2033" t="s">
        <v>907</v>
      </c>
    </row>
    <row r="205" spans="1:9" ht="11.25" customHeight="1">
      <c r="A205" s="2033" t="s">
        <v>2270</v>
      </c>
      <c r="B205" s="2033" t="s">
        <v>16</v>
      </c>
      <c r="C205" s="2033" t="s">
        <v>2605</v>
      </c>
      <c r="D205" s="2033" t="s">
        <v>2606</v>
      </c>
      <c r="E205" s="2033" t="s">
        <v>2607</v>
      </c>
      <c r="F205" s="2033" t="s">
        <v>2504</v>
      </c>
      <c r="G205" s="2033" t="s">
        <v>2608</v>
      </c>
      <c r="H205" s="2033" t="s">
        <v>2609</v>
      </c>
      <c r="I205" s="2033" t="s">
        <v>907</v>
      </c>
    </row>
    <row r="206" spans="1:9" ht="11.25" customHeight="1">
      <c r="A206" s="2033" t="s">
        <v>2270</v>
      </c>
      <c r="B206" s="2033" t="s">
        <v>16</v>
      </c>
      <c r="C206" s="2033" t="s">
        <v>2723</v>
      </c>
      <c r="D206" s="2033" t="s">
        <v>2724</v>
      </c>
      <c r="E206" s="2033" t="s">
        <v>2725</v>
      </c>
      <c r="F206" s="2033" t="s">
        <v>2311</v>
      </c>
      <c r="G206" s="2033" t="s">
        <v>2376</v>
      </c>
      <c r="H206" s="2033" t="s">
        <v>22</v>
      </c>
      <c r="I206" s="2033" t="s">
        <v>907</v>
      </c>
    </row>
    <row r="207" spans="1:9" ht="11.25" customHeight="1">
      <c r="A207" s="2033" t="s">
        <v>2270</v>
      </c>
      <c r="B207" s="2033" t="s">
        <v>16</v>
      </c>
      <c r="C207" s="2033" t="s">
        <v>2613</v>
      </c>
      <c r="D207" s="2033" t="s">
        <v>2614</v>
      </c>
      <c r="E207" s="2033" t="s">
        <v>2615</v>
      </c>
      <c r="F207" s="2033" t="s">
        <v>2296</v>
      </c>
      <c r="G207" s="2033" t="s">
        <v>2616</v>
      </c>
      <c r="H207" s="2033" t="s">
        <v>22</v>
      </c>
      <c r="I207" s="2033" t="s">
        <v>907</v>
      </c>
    </row>
    <row r="208" spans="1:9" ht="11.25" customHeight="1">
      <c r="A208" s="2033" t="s">
        <v>2270</v>
      </c>
      <c r="B208" s="2033" t="s">
        <v>16</v>
      </c>
      <c r="C208" s="2033" t="s">
        <v>2617</v>
      </c>
      <c r="D208" s="2033" t="s">
        <v>2618</v>
      </c>
      <c r="E208" s="2033" t="s">
        <v>2619</v>
      </c>
      <c r="F208" s="2033" t="s">
        <v>2528</v>
      </c>
      <c r="G208" s="2033" t="s">
        <v>2620</v>
      </c>
      <c r="H208" s="2033" t="s">
        <v>22</v>
      </c>
      <c r="I208" s="2033" t="s">
        <v>907</v>
      </c>
    </row>
    <row r="209" spans="1:9" ht="11.25" customHeight="1">
      <c r="A209" s="2033" t="s">
        <v>2270</v>
      </c>
      <c r="B209" s="2033" t="s">
        <v>16</v>
      </c>
      <c r="C209" s="2033" t="s">
        <v>2621</v>
      </c>
      <c r="D209" s="2033" t="s">
        <v>2622</v>
      </c>
      <c r="E209" s="2033" t="s">
        <v>2623</v>
      </c>
      <c r="F209" s="2033" t="s">
        <v>2528</v>
      </c>
      <c r="G209" s="2033" t="s">
        <v>2624</v>
      </c>
      <c r="H209" s="2033" t="s">
        <v>22</v>
      </c>
      <c r="I209" s="2033" t="s">
        <v>907</v>
      </c>
    </row>
    <row r="210" spans="1:9" ht="11.25" customHeight="1">
      <c r="A210" s="2033" t="s">
        <v>2270</v>
      </c>
      <c r="B210" s="2033" t="s">
        <v>16</v>
      </c>
      <c r="C210" s="2033" t="s">
        <v>2625</v>
      </c>
      <c r="D210" s="2033" t="s">
        <v>2626</v>
      </c>
      <c r="E210" s="2033" t="s">
        <v>2627</v>
      </c>
      <c r="F210" s="2033" t="s">
        <v>2563</v>
      </c>
      <c r="G210" s="2033" t="s">
        <v>22</v>
      </c>
      <c r="H210" s="2033" t="s">
        <v>22</v>
      </c>
      <c r="I210" s="2033" t="s">
        <v>907</v>
      </c>
    </row>
    <row r="211" spans="1:9" ht="11.25" customHeight="1">
      <c r="A211" s="2033" t="s">
        <v>2270</v>
      </c>
      <c r="B211" s="2033" t="s">
        <v>16</v>
      </c>
      <c r="C211" s="2033" t="s">
        <v>2636</v>
      </c>
      <c r="D211" s="2033" t="s">
        <v>2637</v>
      </c>
      <c r="E211" s="2033" t="s">
        <v>2638</v>
      </c>
      <c r="F211" s="2033" t="s">
        <v>2639</v>
      </c>
      <c r="G211" s="2033" t="s">
        <v>22</v>
      </c>
      <c r="H211" s="2033" t="s">
        <v>22</v>
      </c>
      <c r="I211" s="2033" t="s">
        <v>907</v>
      </c>
    </row>
    <row r="212" spans="1:9" ht="11.25" customHeight="1">
      <c r="A212" s="2033" t="s">
        <v>2270</v>
      </c>
      <c r="B212" s="2033" t="s">
        <v>16</v>
      </c>
      <c r="C212" s="2033" t="s">
        <v>2640</v>
      </c>
      <c r="D212" s="2033" t="s">
        <v>2641</v>
      </c>
      <c r="E212" s="2033" t="s">
        <v>2642</v>
      </c>
      <c r="F212" s="2033" t="s">
        <v>2287</v>
      </c>
      <c r="G212" s="2033" t="s">
        <v>2643</v>
      </c>
      <c r="H212" s="2033" t="s">
        <v>22</v>
      </c>
      <c r="I212" s="2033" t="s">
        <v>907</v>
      </c>
    </row>
    <row r="213" spans="1:9" ht="11.25" customHeight="1">
      <c r="A213" s="2033" t="s">
        <v>2270</v>
      </c>
      <c r="B213" s="2033" t="s">
        <v>16</v>
      </c>
      <c r="C213" s="2033" t="s">
        <v>2644</v>
      </c>
      <c r="D213" s="2033" t="s">
        <v>2645</v>
      </c>
      <c r="E213" s="2033" t="s">
        <v>2646</v>
      </c>
      <c r="F213" s="2033" t="s">
        <v>2504</v>
      </c>
      <c r="G213" s="2033" t="s">
        <v>22</v>
      </c>
      <c r="H213" s="2033" t="s">
        <v>22</v>
      </c>
      <c r="I213" s="2033" t="s">
        <v>907</v>
      </c>
    </row>
    <row r="214" spans="1:9" ht="11.25" customHeight="1">
      <c r="A214" s="2033" t="s">
        <v>2270</v>
      </c>
      <c r="B214" s="2033" t="s">
        <v>16</v>
      </c>
      <c r="C214" s="2033" t="s">
        <v>2401</v>
      </c>
      <c r="D214" s="2033" t="s">
        <v>2402</v>
      </c>
      <c r="E214" s="2033" t="s">
        <v>2403</v>
      </c>
      <c r="F214" s="2033" t="s">
        <v>2296</v>
      </c>
      <c r="G214" s="2033" t="s">
        <v>22</v>
      </c>
      <c r="H214" s="2033" t="s">
        <v>22</v>
      </c>
      <c r="I214" s="2033" t="s">
        <v>907</v>
      </c>
    </row>
    <row r="215" spans="1:9" ht="11.25" customHeight="1">
      <c r="A215" s="2033" t="s">
        <v>2270</v>
      </c>
      <c r="B215" s="2033" t="s">
        <v>16</v>
      </c>
      <c r="C215" s="2033" t="s">
        <v>2404</v>
      </c>
      <c r="D215" s="2033" t="s">
        <v>2405</v>
      </c>
      <c r="E215" s="2033" t="s">
        <v>2406</v>
      </c>
      <c r="F215" s="2033" t="s">
        <v>2296</v>
      </c>
      <c r="G215" s="2033" t="s">
        <v>22</v>
      </c>
      <c r="H215" s="2033" t="s">
        <v>22</v>
      </c>
      <c r="I215" s="2033" t="s">
        <v>907</v>
      </c>
    </row>
    <row r="216" spans="1:9" ht="11.25" customHeight="1">
      <c r="A216" s="2033" t="s">
        <v>2270</v>
      </c>
      <c r="B216" s="2033" t="s">
        <v>16</v>
      </c>
      <c r="C216" s="2033" t="s">
        <v>2726</v>
      </c>
      <c r="D216" s="2033" t="s">
        <v>2727</v>
      </c>
      <c r="E216" s="2033" t="s">
        <v>2728</v>
      </c>
      <c r="F216" s="2033" t="s">
        <v>2504</v>
      </c>
      <c r="G216" s="2033" t="s">
        <v>2729</v>
      </c>
      <c r="H216" s="2033" t="s">
        <v>22</v>
      </c>
      <c r="I216" s="2033" t="s">
        <v>907</v>
      </c>
    </row>
    <row r="217" spans="1:9" ht="11.25" customHeight="1">
      <c r="A217" s="2033" t="s">
        <v>2270</v>
      </c>
      <c r="B217" s="2033" t="s">
        <v>16</v>
      </c>
      <c r="C217" s="2033" t="s">
        <v>2653</v>
      </c>
      <c r="D217" s="2033" t="s">
        <v>2654</v>
      </c>
      <c r="E217" s="2033" t="s">
        <v>2655</v>
      </c>
      <c r="F217" s="2033" t="s">
        <v>2656</v>
      </c>
      <c r="G217" s="2033" t="s">
        <v>2657</v>
      </c>
      <c r="H217" s="2033" t="s">
        <v>22</v>
      </c>
      <c r="I217" s="2033" t="s">
        <v>907</v>
      </c>
    </row>
    <row r="218" spans="1:9" ht="11.25" customHeight="1">
      <c r="A218" s="2033" t="s">
        <v>2270</v>
      </c>
      <c r="B218" s="2033" t="s">
        <v>16</v>
      </c>
      <c r="C218" s="2033" t="s">
        <v>2730</v>
      </c>
      <c r="D218" s="2033" t="s">
        <v>2731</v>
      </c>
      <c r="E218" s="2033" t="s">
        <v>2732</v>
      </c>
      <c r="F218" s="2033" t="s">
        <v>2426</v>
      </c>
      <c r="G218" s="2033" t="s">
        <v>22</v>
      </c>
      <c r="H218" s="2033" t="s">
        <v>22</v>
      </c>
      <c r="I218" s="2033" t="s">
        <v>907</v>
      </c>
    </row>
    <row r="219" spans="1:9" ht="11.25" customHeight="1">
      <c r="A219" s="2033" t="s">
        <v>2270</v>
      </c>
      <c r="B219" s="2033" t="s">
        <v>16</v>
      </c>
      <c r="C219" s="2033" t="s">
        <v>2672</v>
      </c>
      <c r="D219" s="2033" t="s">
        <v>2673</v>
      </c>
      <c r="E219" s="2033" t="s">
        <v>2674</v>
      </c>
      <c r="F219" s="2033" t="s">
        <v>2343</v>
      </c>
      <c r="G219" s="2033" t="s">
        <v>22</v>
      </c>
      <c r="H219" s="2033" t="s">
        <v>2675</v>
      </c>
      <c r="I219" s="2033" t="s">
        <v>907</v>
      </c>
    </row>
    <row r="220" spans="1:9" ht="11.25" customHeight="1">
      <c r="A220" s="2033" t="s">
        <v>2270</v>
      </c>
      <c r="B220" s="2033" t="s">
        <v>16</v>
      </c>
      <c r="C220" s="2033" t="s">
        <v>2679</v>
      </c>
      <c r="D220" s="2033" t="s">
        <v>2680</v>
      </c>
      <c r="E220" s="2033" t="s">
        <v>2681</v>
      </c>
      <c r="F220" s="2033" t="s">
        <v>2504</v>
      </c>
      <c r="G220" s="2033" t="s">
        <v>22</v>
      </c>
      <c r="H220" s="2033" t="s">
        <v>22</v>
      </c>
      <c r="I220" s="2033" t="s">
        <v>907</v>
      </c>
    </row>
    <row r="221" spans="1:9" ht="11.25" customHeight="1">
      <c r="A221" s="2033" t="s">
        <v>2270</v>
      </c>
      <c r="B221" s="2033" t="s">
        <v>16</v>
      </c>
      <c r="C221" s="2033" t="s">
        <v>2427</v>
      </c>
      <c r="D221" s="2033" t="s">
        <v>2428</v>
      </c>
      <c r="E221" s="2033" t="s">
        <v>2429</v>
      </c>
      <c r="F221" s="2033" t="s">
        <v>2296</v>
      </c>
      <c r="G221" s="2033" t="s">
        <v>22</v>
      </c>
      <c r="H221" s="2033" t="s">
        <v>22</v>
      </c>
      <c r="I221" s="2033" t="s">
        <v>907</v>
      </c>
    </row>
    <row r="222" spans="1:9" ht="11.25" customHeight="1">
      <c r="A222" s="2033" t="s">
        <v>2270</v>
      </c>
      <c r="B222" s="2033" t="s">
        <v>16</v>
      </c>
      <c r="C222" s="2033" t="s">
        <v>2686</v>
      </c>
      <c r="D222" s="2033" t="s">
        <v>2687</v>
      </c>
      <c r="E222" s="2033" t="s">
        <v>2688</v>
      </c>
      <c r="F222" s="2033" t="s">
        <v>2296</v>
      </c>
      <c r="G222" s="2033" t="s">
        <v>22</v>
      </c>
      <c r="H222" s="2033" t="s">
        <v>22</v>
      </c>
      <c r="I222" s="2033" t="s">
        <v>907</v>
      </c>
    </row>
    <row r="223" spans="1:9" ht="11.25" customHeight="1">
      <c r="A223" s="2033" t="s">
        <v>2270</v>
      </c>
      <c r="B223" s="2033" t="s">
        <v>16</v>
      </c>
      <c r="C223" s="2033" t="s">
        <v>2444</v>
      </c>
      <c r="D223" s="2033" t="s">
        <v>2445</v>
      </c>
      <c r="E223" s="2033" t="s">
        <v>2446</v>
      </c>
      <c r="F223" s="2033" t="s">
        <v>2447</v>
      </c>
      <c r="G223" s="2033" t="s">
        <v>22</v>
      </c>
      <c r="H223" s="2033" t="s">
        <v>22</v>
      </c>
      <c r="I223" s="2033" t="s">
        <v>907</v>
      </c>
    </row>
    <row r="224" spans="1:9" ht="11.25" customHeight="1">
      <c r="A224" s="2033" t="s">
        <v>2270</v>
      </c>
      <c r="B224" s="2033" t="s">
        <v>16</v>
      </c>
      <c r="C224" s="2033" t="s">
        <v>2697</v>
      </c>
      <c r="D224" s="2033" t="s">
        <v>2698</v>
      </c>
      <c r="E224" s="2033" t="s">
        <v>2699</v>
      </c>
      <c r="F224" s="2033" t="s">
        <v>50</v>
      </c>
      <c r="G224" s="2033" t="s">
        <v>2700</v>
      </c>
      <c r="H224" s="2033" t="s">
        <v>22</v>
      </c>
      <c r="I224" s="2033" t="s">
        <v>907</v>
      </c>
    </row>
    <row r="225" spans="1:9" ht="11.25" customHeight="1">
      <c r="A225" s="2033" t="s">
        <v>2270</v>
      </c>
      <c r="B225" s="2033" t="s">
        <v>16</v>
      </c>
      <c r="C225" s="2033" t="s">
        <v>2701</v>
      </c>
      <c r="D225" s="2033" t="s">
        <v>2702</v>
      </c>
      <c r="E225" s="2033" t="s">
        <v>2703</v>
      </c>
      <c r="F225" s="2033" t="s">
        <v>2563</v>
      </c>
      <c r="G225" s="2033" t="s">
        <v>22</v>
      </c>
      <c r="H225" s="2033" t="s">
        <v>22</v>
      </c>
      <c r="I225" s="2033" t="s">
        <v>907</v>
      </c>
    </row>
    <row r="226" spans="1:9" ht="11.25" customHeight="1">
      <c r="A226" s="2033" t="s">
        <v>2270</v>
      </c>
      <c r="B226" s="2033" t="s">
        <v>16</v>
      </c>
      <c r="C226" s="2033" t="s">
        <v>2708</v>
      </c>
      <c r="D226" s="2033" t="s">
        <v>2709</v>
      </c>
      <c r="E226" s="2033" t="s">
        <v>2710</v>
      </c>
      <c r="F226" s="2033" t="s">
        <v>2563</v>
      </c>
      <c r="G226" s="2033" t="s">
        <v>2711</v>
      </c>
      <c r="H226" s="2033" t="s">
        <v>2643</v>
      </c>
      <c r="I226" s="2033" t="s">
        <v>907</v>
      </c>
    </row>
    <row r="227" spans="1:9" ht="11.25" customHeight="1">
      <c r="A227" s="2033" t="s">
        <v>2270</v>
      </c>
      <c r="B227" s="2033" t="s">
        <v>16</v>
      </c>
      <c r="C227" s="2033" t="s">
        <v>2455</v>
      </c>
      <c r="D227" s="2033" t="s">
        <v>2456</v>
      </c>
      <c r="E227" s="2033" t="s">
        <v>2457</v>
      </c>
      <c r="F227" s="2033" t="s">
        <v>2306</v>
      </c>
      <c r="G227" s="2033" t="s">
        <v>2458</v>
      </c>
      <c r="H227" s="2033" t="s">
        <v>22</v>
      </c>
      <c r="I227" s="2033" t="s">
        <v>907</v>
      </c>
    </row>
    <row r="228" spans="1:9" ht="11.25" customHeight="1">
      <c r="A228" s="2033" t="s">
        <v>2270</v>
      </c>
      <c r="B228" s="2033" t="s">
        <v>16</v>
      </c>
      <c r="C228" s="2033" t="s">
        <v>2462</v>
      </c>
      <c r="D228" s="2033" t="s">
        <v>2463</v>
      </c>
      <c r="E228" s="2033" t="s">
        <v>2464</v>
      </c>
      <c r="F228" s="2033" t="s">
        <v>2465</v>
      </c>
      <c r="G228" s="2033" t="s">
        <v>22</v>
      </c>
      <c r="H228" s="2033" t="s">
        <v>22</v>
      </c>
      <c r="I228" s="2033" t="s">
        <v>907</v>
      </c>
    </row>
    <row r="229" spans="1:9" ht="11.25" customHeight="1">
      <c r="A229" s="2033" t="s">
        <v>2270</v>
      </c>
      <c r="B229" s="2033" t="s">
        <v>16</v>
      </c>
      <c r="C229" s="2033" t="s">
        <v>2469</v>
      </c>
      <c r="D229" s="2033" t="s">
        <v>2470</v>
      </c>
      <c r="E229" s="2033" t="s">
        <v>2471</v>
      </c>
      <c r="F229" s="2033" t="s">
        <v>50</v>
      </c>
      <c r="G229" s="2033" t="s">
        <v>2472</v>
      </c>
      <c r="H229" s="2033" t="s">
        <v>22</v>
      </c>
      <c r="I229" s="2033" t="s">
        <v>907</v>
      </c>
    </row>
    <row r="230" spans="1:9" ht="11.25" customHeight="1">
      <c r="A230" s="2033" t="s">
        <v>2270</v>
      </c>
      <c r="B230" s="2033" t="s">
        <v>16</v>
      </c>
      <c r="C230" s="2033" t="s">
        <v>2473</v>
      </c>
      <c r="D230" s="2033" t="s">
        <v>2474</v>
      </c>
      <c r="E230" s="2033" t="s">
        <v>2475</v>
      </c>
      <c r="F230" s="2033" t="s">
        <v>50</v>
      </c>
      <c r="G230" s="2033" t="s">
        <v>2476</v>
      </c>
      <c r="H230" s="2033" t="s">
        <v>22</v>
      </c>
      <c r="I230" s="2033" t="s">
        <v>907</v>
      </c>
    </row>
    <row r="231" spans="1:9" ht="11.25" customHeight="1">
      <c r="A231" s="2033" t="s">
        <v>2270</v>
      </c>
      <c r="B231" s="2033" t="s">
        <v>16</v>
      </c>
      <c r="C231" s="2033" t="s">
        <v>2715</v>
      </c>
      <c r="D231" s="2033" t="s">
        <v>2716</v>
      </c>
      <c r="E231" s="2033" t="s">
        <v>2717</v>
      </c>
      <c r="F231" s="2033" t="s">
        <v>2296</v>
      </c>
      <c r="G231" s="2033" t="s">
        <v>2718</v>
      </c>
      <c r="H231" s="2033" t="s">
        <v>22</v>
      </c>
      <c r="I231" s="2033" t="s">
        <v>907</v>
      </c>
    </row>
    <row r="232" spans="1:9" ht="11.25" customHeight="1">
      <c r="A232" s="2033" t="s">
        <v>2270</v>
      </c>
      <c r="B232" s="2033" t="s">
        <v>16</v>
      </c>
      <c r="C232" s="2033" t="s">
        <v>2485</v>
      </c>
      <c r="D232" s="2033" t="s">
        <v>2486</v>
      </c>
      <c r="E232" s="2033" t="s">
        <v>2487</v>
      </c>
      <c r="F232" s="2033" t="s">
        <v>2488</v>
      </c>
      <c r="G232" s="2033" t="s">
        <v>2489</v>
      </c>
      <c r="H232" s="2033" t="s">
        <v>22</v>
      </c>
      <c r="I232" s="2033" t="s">
        <v>907</v>
      </c>
    </row>
    <row r="233" spans="1:9" ht="11.25" customHeight="1">
      <c r="A233" s="2033" t="s">
        <v>2270</v>
      </c>
      <c r="B233" s="2033" t="s">
        <v>16</v>
      </c>
      <c r="C233" s="2033" t="s">
        <v>2719</v>
      </c>
      <c r="D233" s="2033" t="s">
        <v>2720</v>
      </c>
      <c r="E233" s="2033" t="s">
        <v>2487</v>
      </c>
      <c r="F233" s="2033" t="s">
        <v>2721</v>
      </c>
      <c r="G233" s="2033" t="s">
        <v>2722</v>
      </c>
      <c r="H233" s="2033" t="s">
        <v>22</v>
      </c>
      <c r="I233" s="2033" t="s">
        <v>907</v>
      </c>
    </row>
    <row r="234" spans="1:9" ht="11.25" customHeight="1">
      <c r="A234" s="2033" t="s">
        <v>2270</v>
      </c>
      <c r="B234" s="2033" t="s">
        <v>16</v>
      </c>
      <c r="C234" s="2033" t="s">
        <v>2733</v>
      </c>
      <c r="D234" s="2033" t="s">
        <v>2734</v>
      </c>
      <c r="E234" s="2033" t="s">
        <v>2735</v>
      </c>
      <c r="F234" s="2033" t="s">
        <v>573</v>
      </c>
      <c r="G234" s="2033" t="s">
        <v>22</v>
      </c>
      <c r="H234" s="2033" t="s">
        <v>22</v>
      </c>
      <c r="I234" s="2033" t="s">
        <v>1648</v>
      </c>
    </row>
    <row r="235" spans="1:9" ht="11.25" customHeight="1">
      <c r="A235" s="2033" t="s">
        <v>2270</v>
      </c>
      <c r="B235" s="2033" t="s">
        <v>16</v>
      </c>
      <c r="C235" s="2033" t="s">
        <v>2736</v>
      </c>
      <c r="D235" s="2033" t="s">
        <v>2737</v>
      </c>
      <c r="E235" s="2033" t="s">
        <v>2738</v>
      </c>
      <c r="F235" s="2033" t="s">
        <v>573</v>
      </c>
      <c r="G235" s="2033" t="s">
        <v>22</v>
      </c>
      <c r="H235" s="2033" t="s">
        <v>22</v>
      </c>
      <c r="I235" s="2033" t="s">
        <v>1648</v>
      </c>
    </row>
    <row r="236" spans="1:9" ht="11.25" customHeight="1">
      <c r="A236" s="2033" t="s">
        <v>2270</v>
      </c>
      <c r="B236" s="2033" t="s">
        <v>16</v>
      </c>
      <c r="C236" s="2033" t="s">
        <v>2739</v>
      </c>
      <c r="D236" s="2033" t="s">
        <v>2740</v>
      </c>
      <c r="E236" s="2033" t="s">
        <v>2741</v>
      </c>
      <c r="F236" s="2033" t="s">
        <v>573</v>
      </c>
      <c r="G236" s="2033" t="s">
        <v>2742</v>
      </c>
      <c r="H236" s="2033" t="s">
        <v>22</v>
      </c>
      <c r="I236" s="2033" t="s">
        <v>1648</v>
      </c>
    </row>
    <row r="237" spans="1:9" ht="11.25" customHeight="1">
      <c r="A237" s="2033" t="s">
        <v>2270</v>
      </c>
      <c r="B237" s="2033" t="s">
        <v>16</v>
      </c>
      <c r="C237" s="2033" t="s">
        <v>22</v>
      </c>
      <c r="D237" s="2033" t="s">
        <v>2301</v>
      </c>
      <c r="E237" s="2033" t="s">
        <v>2302</v>
      </c>
      <c r="F237" s="2033" t="s">
        <v>50</v>
      </c>
      <c r="G237" s="2033" t="s">
        <v>22</v>
      </c>
      <c r="H237" s="2033" t="s">
        <v>22</v>
      </c>
      <c r="I237" s="2033" t="s">
        <v>1648</v>
      </c>
    </row>
    <row r="238" spans="1:9" ht="11.25" customHeight="1">
      <c r="A238" s="2033" t="s">
        <v>2270</v>
      </c>
      <c r="B238" s="2033" t="s">
        <v>16</v>
      </c>
      <c r="C238" s="2033" t="s">
        <v>2303</v>
      </c>
      <c r="D238" s="2033" t="s">
        <v>2304</v>
      </c>
      <c r="E238" s="2033" t="s">
        <v>2305</v>
      </c>
      <c r="F238" s="2033" t="s">
        <v>2306</v>
      </c>
      <c r="G238" s="2033" t="s">
        <v>2307</v>
      </c>
      <c r="H238" s="2033" t="s">
        <v>22</v>
      </c>
      <c r="I238" s="2033" t="s">
        <v>1648</v>
      </c>
    </row>
    <row r="239" spans="1:9" ht="11.25" customHeight="1">
      <c r="A239" s="2033" t="s">
        <v>2270</v>
      </c>
      <c r="B239" s="2033" t="s">
        <v>16</v>
      </c>
      <c r="C239" s="2033" t="s">
        <v>2743</v>
      </c>
      <c r="D239" s="2033" t="s">
        <v>2744</v>
      </c>
      <c r="E239" s="2033" t="s">
        <v>2745</v>
      </c>
      <c r="F239" s="2033" t="s">
        <v>2410</v>
      </c>
      <c r="G239" s="2033" t="s">
        <v>2559</v>
      </c>
      <c r="H239" s="2033" t="s">
        <v>22</v>
      </c>
      <c r="I239" s="2033" t="s">
        <v>1648</v>
      </c>
    </row>
    <row r="240" spans="1:9" ht="11.25" customHeight="1">
      <c r="A240" s="2033" t="s">
        <v>2270</v>
      </c>
      <c r="B240" s="2033" t="s">
        <v>16</v>
      </c>
      <c r="C240" s="2033" t="s">
        <v>2331</v>
      </c>
      <c r="D240" s="2033" t="s">
        <v>2332</v>
      </c>
      <c r="E240" s="2033" t="s">
        <v>2333</v>
      </c>
      <c r="F240" s="2033" t="s">
        <v>2334</v>
      </c>
      <c r="G240" s="2033" t="s">
        <v>2335</v>
      </c>
      <c r="H240" s="2033" t="s">
        <v>22</v>
      </c>
      <c r="I240" s="2033" t="s">
        <v>1648</v>
      </c>
    </row>
    <row r="241" spans="1:9" ht="11.25" customHeight="1">
      <c r="A241" s="2033" t="s">
        <v>2270</v>
      </c>
      <c r="B241" s="2033" t="s">
        <v>16</v>
      </c>
      <c r="C241" s="2033" t="s">
        <v>2336</v>
      </c>
      <c r="D241" s="2033" t="s">
        <v>2337</v>
      </c>
      <c r="E241" s="2033" t="s">
        <v>2338</v>
      </c>
      <c r="F241" s="2033" t="s">
        <v>2339</v>
      </c>
      <c r="G241" s="2033" t="s">
        <v>22</v>
      </c>
      <c r="H241" s="2033" t="s">
        <v>22</v>
      </c>
      <c r="I241" s="2033" t="s">
        <v>1648</v>
      </c>
    </row>
    <row r="242" spans="1:9" ht="11.25" customHeight="1">
      <c r="A242" s="2033" t="s">
        <v>2270</v>
      </c>
      <c r="B242" s="2033" t="s">
        <v>16</v>
      </c>
      <c r="C242" s="2033" t="s">
        <v>2340</v>
      </c>
      <c r="D242" s="2033" t="s">
        <v>2341</v>
      </c>
      <c r="E242" s="2033" t="s">
        <v>2342</v>
      </c>
      <c r="F242" s="2033" t="s">
        <v>2343</v>
      </c>
      <c r="G242" s="2033" t="s">
        <v>2344</v>
      </c>
      <c r="H242" s="2033" t="s">
        <v>2345</v>
      </c>
      <c r="I242" s="2033" t="s">
        <v>1648</v>
      </c>
    </row>
    <row r="243" spans="1:9" ht="11.25" customHeight="1">
      <c r="A243" s="2033" t="s">
        <v>2270</v>
      </c>
      <c r="B243" s="2033" t="s">
        <v>16</v>
      </c>
      <c r="C243" s="2033" t="s">
        <v>2746</v>
      </c>
      <c r="D243" s="2033" t="s">
        <v>2747</v>
      </c>
      <c r="E243" s="2033" t="s">
        <v>2748</v>
      </c>
      <c r="F243" s="2033" t="s">
        <v>2360</v>
      </c>
      <c r="G243" s="2033" t="s">
        <v>22</v>
      </c>
      <c r="H243" s="2033" t="s">
        <v>22</v>
      </c>
      <c r="I243" s="2033" t="s">
        <v>1648</v>
      </c>
    </row>
    <row r="244" spans="1:9" ht="11.25" customHeight="1">
      <c r="A244" s="2033" t="s">
        <v>2270</v>
      </c>
      <c r="B244" s="2033" t="s">
        <v>16</v>
      </c>
      <c r="C244" s="2033" t="s">
        <v>2749</v>
      </c>
      <c r="D244" s="2033" t="s">
        <v>2750</v>
      </c>
      <c r="E244" s="2033" t="s">
        <v>2751</v>
      </c>
      <c r="F244" s="2033" t="s">
        <v>50</v>
      </c>
      <c r="G244" s="2033" t="s">
        <v>2752</v>
      </c>
      <c r="H244" s="2033" t="s">
        <v>22</v>
      </c>
      <c r="I244" s="2033" t="s">
        <v>1648</v>
      </c>
    </row>
    <row r="245" spans="1:9" ht="11.25" customHeight="1">
      <c r="A245" s="2033" t="s">
        <v>2270</v>
      </c>
      <c r="B245" s="2033" t="s">
        <v>16</v>
      </c>
      <c r="C245" s="2033" t="s">
        <v>2381</v>
      </c>
      <c r="D245" s="2033" t="s">
        <v>2382</v>
      </c>
      <c r="E245" s="2033" t="s">
        <v>2383</v>
      </c>
      <c r="F245" s="2033" t="s">
        <v>2384</v>
      </c>
      <c r="G245" s="2033" t="s">
        <v>22</v>
      </c>
      <c r="H245" s="2033" t="s">
        <v>22</v>
      </c>
      <c r="I245" s="2033" t="s">
        <v>1648</v>
      </c>
    </row>
    <row r="246" spans="1:9" ht="11.25" customHeight="1">
      <c r="A246" s="2033" t="s">
        <v>2270</v>
      </c>
      <c r="B246" s="2033" t="s">
        <v>16</v>
      </c>
      <c r="C246" s="2033" t="s">
        <v>2385</v>
      </c>
      <c r="D246" s="2033" t="s">
        <v>2386</v>
      </c>
      <c r="E246" s="2033" t="s">
        <v>2387</v>
      </c>
      <c r="F246" s="2033" t="s">
        <v>2388</v>
      </c>
      <c r="G246" s="2033" t="s">
        <v>2389</v>
      </c>
      <c r="H246" s="2033" t="s">
        <v>22</v>
      </c>
      <c r="I246" s="2033" t="s">
        <v>1648</v>
      </c>
    </row>
    <row r="247" spans="1:9" ht="11.25" customHeight="1">
      <c r="A247" s="2033" t="s">
        <v>2270</v>
      </c>
      <c r="B247" s="2033" t="s">
        <v>16</v>
      </c>
      <c r="C247" s="2033" t="s">
        <v>2753</v>
      </c>
      <c r="D247" s="2033" t="s">
        <v>2754</v>
      </c>
      <c r="E247" s="2033" t="s">
        <v>2755</v>
      </c>
      <c r="F247" s="2033" t="s">
        <v>2315</v>
      </c>
      <c r="G247" s="2033" t="s">
        <v>22</v>
      </c>
      <c r="H247" s="2033" t="s">
        <v>22</v>
      </c>
      <c r="I247" s="2033" t="s">
        <v>1648</v>
      </c>
    </row>
    <row r="248" spans="1:9" ht="11.25" customHeight="1">
      <c r="A248" s="2033" t="s">
        <v>2270</v>
      </c>
      <c r="B248" s="2033" t="s">
        <v>16</v>
      </c>
      <c r="C248" s="2033" t="s">
        <v>2756</v>
      </c>
      <c r="D248" s="2033" t="s">
        <v>2757</v>
      </c>
      <c r="E248" s="2033" t="s">
        <v>2758</v>
      </c>
      <c r="F248" s="2033" t="s">
        <v>2287</v>
      </c>
      <c r="G248" s="2033" t="s">
        <v>2759</v>
      </c>
      <c r="H248" s="2033" t="s">
        <v>22</v>
      </c>
      <c r="I248" s="2033" t="s">
        <v>1648</v>
      </c>
    </row>
    <row r="249" spans="1:9" ht="11.25" customHeight="1">
      <c r="A249" s="2033" t="s">
        <v>2270</v>
      </c>
      <c r="B249" s="2033" t="s">
        <v>16</v>
      </c>
      <c r="C249" s="2033" t="s">
        <v>2760</v>
      </c>
      <c r="D249" s="2033" t="s">
        <v>2761</v>
      </c>
      <c r="E249" s="2033" t="s">
        <v>2762</v>
      </c>
      <c r="F249" s="2033" t="s">
        <v>2311</v>
      </c>
      <c r="G249" s="2033" t="s">
        <v>2376</v>
      </c>
      <c r="H249" s="2033" t="s">
        <v>22</v>
      </c>
      <c r="I249" s="2033" t="s">
        <v>1648</v>
      </c>
    </row>
    <row r="250" spans="1:9" ht="11.25" customHeight="1">
      <c r="A250" s="2033" t="s">
        <v>2270</v>
      </c>
      <c r="B250" s="2033" t="s">
        <v>16</v>
      </c>
      <c r="C250" s="2033" t="s">
        <v>2661</v>
      </c>
      <c r="D250" s="2033" t="s">
        <v>2662</v>
      </c>
      <c r="E250" s="2033" t="s">
        <v>2663</v>
      </c>
      <c r="F250" s="2033" t="s">
        <v>2372</v>
      </c>
      <c r="G250" s="2033" t="s">
        <v>2664</v>
      </c>
      <c r="H250" s="2033" t="s">
        <v>22</v>
      </c>
      <c r="I250" s="2033" t="s">
        <v>1648</v>
      </c>
    </row>
    <row r="251" spans="1:9" ht="11.25" customHeight="1">
      <c r="A251" s="2033" t="s">
        <v>2270</v>
      </c>
      <c r="B251" s="2033" t="s">
        <v>16</v>
      </c>
      <c r="C251" s="2033" t="s">
        <v>2763</v>
      </c>
      <c r="D251" s="2033" t="s">
        <v>2764</v>
      </c>
      <c r="E251" s="2033" t="s">
        <v>2765</v>
      </c>
      <c r="F251" s="2033" t="s">
        <v>50</v>
      </c>
      <c r="G251" s="2033" t="s">
        <v>22</v>
      </c>
      <c r="H251" s="2033" t="s">
        <v>22</v>
      </c>
      <c r="I251" s="2033" t="s">
        <v>1648</v>
      </c>
    </row>
    <row r="252" spans="1:9" ht="11.25" customHeight="1">
      <c r="A252" s="2033" t="s">
        <v>2270</v>
      </c>
      <c r="B252" s="2033" t="s">
        <v>16</v>
      </c>
      <c r="C252" s="2033" t="s">
        <v>2766</v>
      </c>
      <c r="D252" s="2033" t="s">
        <v>2764</v>
      </c>
      <c r="E252" s="2033" t="s">
        <v>2767</v>
      </c>
      <c r="F252" s="2033" t="s">
        <v>2426</v>
      </c>
      <c r="G252" s="2033" t="s">
        <v>22</v>
      </c>
      <c r="H252" s="2033" t="s">
        <v>22</v>
      </c>
      <c r="I252" s="2033" t="s">
        <v>1648</v>
      </c>
    </row>
    <row r="253" spans="1:9" ht="11.25" customHeight="1">
      <c r="A253" s="2033" t="s">
        <v>2270</v>
      </c>
      <c r="B253" s="2033" t="s">
        <v>16</v>
      </c>
      <c r="C253" s="2033" t="s">
        <v>2768</v>
      </c>
      <c r="D253" s="2033" t="s">
        <v>2769</v>
      </c>
      <c r="E253" s="2033" t="s">
        <v>2770</v>
      </c>
      <c r="F253" s="2033" t="s">
        <v>2287</v>
      </c>
      <c r="G253" s="2033" t="s">
        <v>2771</v>
      </c>
      <c r="H253" s="2033" t="s">
        <v>22</v>
      </c>
      <c r="I253" s="2033" t="s">
        <v>1648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36"/>
  <sheetViews>
    <sheetView showGridLines="0" workbookViewId="0"/>
  </sheetViews>
  <sheetFormatPr defaultRowHeight="11.25" customHeight="1"/>
  <cols>
    <col min="1" max="1" width="9.140625" style="2248"/>
  </cols>
  <sheetData>
    <row r="1" spans="1:7" ht="11.25" customHeight="1">
      <c r="A1" s="310" t="s">
        <v>2772</v>
      </c>
      <c r="B1" s="3" t="s">
        <v>2773</v>
      </c>
      <c r="C1" s="3" t="s">
        <v>2774</v>
      </c>
      <c r="D1" s="3" t="s">
        <v>2775</v>
      </c>
      <c r="E1" s="2" t="s">
        <v>2776</v>
      </c>
      <c r="F1" s="2" t="s">
        <v>2777</v>
      </c>
      <c r="G1" s="2" t="s">
        <v>2778</v>
      </c>
    </row>
    <row r="2" spans="1:7" ht="11.25" customHeight="1">
      <c r="A2" s="310" t="s">
        <v>16</v>
      </c>
      <c r="B2" t="s">
        <v>2779</v>
      </c>
      <c r="C2" t="s">
        <v>2780</v>
      </c>
      <c r="D2" t="s">
        <v>2781</v>
      </c>
      <c r="E2" t="s">
        <v>2782</v>
      </c>
      <c r="F2" t="s">
        <v>2783</v>
      </c>
      <c r="G2" t="s">
        <v>108</v>
      </c>
    </row>
    <row r="3" spans="1:7" ht="11.25" customHeight="1">
      <c r="A3" s="310" t="s">
        <v>16</v>
      </c>
      <c r="B3" t="s">
        <v>2779</v>
      </c>
      <c r="C3" t="s">
        <v>2780</v>
      </c>
      <c r="D3" t="s">
        <v>2779</v>
      </c>
      <c r="E3" t="s">
        <v>2780</v>
      </c>
      <c r="F3" t="s">
        <v>2784</v>
      </c>
      <c r="G3" t="s">
        <v>109</v>
      </c>
    </row>
    <row r="4" spans="1:7" ht="11.25" customHeight="1">
      <c r="A4" s="310" t="s">
        <v>16</v>
      </c>
      <c r="B4" t="s">
        <v>2779</v>
      </c>
      <c r="C4" t="s">
        <v>2780</v>
      </c>
      <c r="D4" t="s">
        <v>2785</v>
      </c>
      <c r="E4" t="s">
        <v>2786</v>
      </c>
      <c r="F4" t="s">
        <v>2783</v>
      </c>
      <c r="G4" t="s">
        <v>89</v>
      </c>
    </row>
    <row r="5" spans="1:7" ht="11.25" customHeight="1">
      <c r="A5" s="310" t="s">
        <v>16</v>
      </c>
      <c r="B5" t="s">
        <v>2779</v>
      </c>
      <c r="C5" t="s">
        <v>2780</v>
      </c>
      <c r="D5" t="s">
        <v>2787</v>
      </c>
      <c r="E5" t="s">
        <v>2788</v>
      </c>
      <c r="F5" t="s">
        <v>2783</v>
      </c>
      <c r="G5" t="s">
        <v>90</v>
      </c>
    </row>
    <row r="6" spans="1:7" ht="11.25" customHeight="1">
      <c r="A6" s="310" t="s">
        <v>16</v>
      </c>
      <c r="B6" t="s">
        <v>2779</v>
      </c>
      <c r="C6" t="s">
        <v>2780</v>
      </c>
      <c r="D6" t="s">
        <v>2789</v>
      </c>
      <c r="E6" t="s">
        <v>2790</v>
      </c>
      <c r="F6" t="s">
        <v>2783</v>
      </c>
      <c r="G6" t="s">
        <v>110</v>
      </c>
    </row>
    <row r="7" spans="1:7" ht="11.25" customHeight="1">
      <c r="A7" s="310" t="s">
        <v>16</v>
      </c>
      <c r="B7" t="s">
        <v>2779</v>
      </c>
      <c r="C7" t="s">
        <v>2780</v>
      </c>
      <c r="D7" t="s">
        <v>2791</v>
      </c>
      <c r="E7" t="s">
        <v>2792</v>
      </c>
      <c r="F7" t="s">
        <v>2783</v>
      </c>
      <c r="G7" t="s">
        <v>91</v>
      </c>
    </row>
    <row r="8" spans="1:7" ht="11.25" customHeight="1">
      <c r="A8" s="310" t="s">
        <v>16</v>
      </c>
      <c r="B8" t="s">
        <v>2779</v>
      </c>
      <c r="C8" t="s">
        <v>2780</v>
      </c>
      <c r="D8" t="s">
        <v>2793</v>
      </c>
      <c r="E8" t="s">
        <v>2794</v>
      </c>
      <c r="F8" t="s">
        <v>2783</v>
      </c>
      <c r="G8" t="s">
        <v>92</v>
      </c>
    </row>
    <row r="9" spans="1:7" ht="11.25" customHeight="1">
      <c r="A9" s="310" t="s">
        <v>16</v>
      </c>
      <c r="B9" t="s">
        <v>2779</v>
      </c>
      <c r="C9" t="s">
        <v>2780</v>
      </c>
      <c r="D9" t="s">
        <v>2795</v>
      </c>
      <c r="E9" t="s">
        <v>2796</v>
      </c>
      <c r="F9" t="s">
        <v>2783</v>
      </c>
      <c r="G9" t="s">
        <v>111</v>
      </c>
    </row>
    <row r="10" spans="1:7" ht="11.25" customHeight="1">
      <c r="A10" s="310" t="s">
        <v>16</v>
      </c>
      <c r="B10" t="s">
        <v>2779</v>
      </c>
      <c r="C10" t="s">
        <v>2780</v>
      </c>
      <c r="D10" t="s">
        <v>2797</v>
      </c>
      <c r="E10" t="s">
        <v>2798</v>
      </c>
      <c r="F10" t="s">
        <v>2799</v>
      </c>
      <c r="G10" t="s">
        <v>148</v>
      </c>
    </row>
    <row r="11" spans="1:7" ht="11.25" customHeight="1">
      <c r="A11" s="310" t="s">
        <v>16</v>
      </c>
      <c r="B11" t="s">
        <v>2800</v>
      </c>
      <c r="C11" t="s">
        <v>2801</v>
      </c>
      <c r="D11" t="s">
        <v>2802</v>
      </c>
      <c r="E11" t="s">
        <v>2803</v>
      </c>
      <c r="F11" t="s">
        <v>2783</v>
      </c>
      <c r="G11" t="s">
        <v>149</v>
      </c>
    </row>
    <row r="12" spans="1:7" ht="11.25" customHeight="1">
      <c r="A12" s="310" t="s">
        <v>16</v>
      </c>
      <c r="B12" t="s">
        <v>2800</v>
      </c>
      <c r="C12" t="s">
        <v>2801</v>
      </c>
      <c r="D12" t="s">
        <v>2800</v>
      </c>
      <c r="E12" t="s">
        <v>2801</v>
      </c>
      <c r="F12" t="s">
        <v>2784</v>
      </c>
      <c r="G12" t="s">
        <v>150</v>
      </c>
    </row>
    <row r="13" spans="1:7" ht="11.25" customHeight="1">
      <c r="A13" s="310" t="s">
        <v>16</v>
      </c>
      <c r="B13" t="s">
        <v>2800</v>
      </c>
      <c r="C13" t="s">
        <v>2801</v>
      </c>
      <c r="D13" t="s">
        <v>2804</v>
      </c>
      <c r="E13" t="s">
        <v>2805</v>
      </c>
      <c r="F13" t="s">
        <v>2783</v>
      </c>
      <c r="G13" t="s">
        <v>151</v>
      </c>
    </row>
    <row r="14" spans="1:7" ht="11.25" customHeight="1">
      <c r="A14" s="310" t="s">
        <v>16</v>
      </c>
      <c r="B14" t="s">
        <v>2800</v>
      </c>
      <c r="C14" t="s">
        <v>2801</v>
      </c>
      <c r="D14" t="s">
        <v>2806</v>
      </c>
      <c r="E14" t="s">
        <v>2807</v>
      </c>
      <c r="F14" t="s">
        <v>2783</v>
      </c>
      <c r="G14" t="s">
        <v>152</v>
      </c>
    </row>
    <row r="15" spans="1:7" ht="11.25" customHeight="1">
      <c r="A15" s="310" t="s">
        <v>16</v>
      </c>
      <c r="B15" t="s">
        <v>2800</v>
      </c>
      <c r="C15" t="s">
        <v>2801</v>
      </c>
      <c r="D15" t="s">
        <v>2808</v>
      </c>
      <c r="E15" t="s">
        <v>2809</v>
      </c>
      <c r="F15" t="s">
        <v>2783</v>
      </c>
      <c r="G15" t="s">
        <v>153</v>
      </c>
    </row>
    <row r="16" spans="1:7" ht="11.25" customHeight="1">
      <c r="A16" s="310" t="s">
        <v>16</v>
      </c>
      <c r="B16" t="s">
        <v>2800</v>
      </c>
      <c r="C16" t="s">
        <v>2801</v>
      </c>
      <c r="D16" t="s">
        <v>2810</v>
      </c>
      <c r="E16" t="s">
        <v>2811</v>
      </c>
      <c r="F16" t="s">
        <v>2783</v>
      </c>
      <c r="G16" t="s">
        <v>1492</v>
      </c>
    </row>
    <row r="17" spans="1:7" ht="11.25" customHeight="1">
      <c r="A17" s="310" t="s">
        <v>16</v>
      </c>
      <c r="B17" t="s">
        <v>2800</v>
      </c>
      <c r="C17" t="s">
        <v>2801</v>
      </c>
      <c r="D17" t="s">
        <v>2812</v>
      </c>
      <c r="E17" t="s">
        <v>2813</v>
      </c>
      <c r="F17" t="s">
        <v>2783</v>
      </c>
      <c r="G17" t="s">
        <v>1498</v>
      </c>
    </row>
    <row r="18" spans="1:7" ht="11.25" customHeight="1">
      <c r="A18" s="310" t="s">
        <v>16</v>
      </c>
      <c r="B18" t="s">
        <v>2800</v>
      </c>
      <c r="C18" t="s">
        <v>2801</v>
      </c>
      <c r="D18" t="s">
        <v>2814</v>
      </c>
      <c r="E18" t="s">
        <v>2815</v>
      </c>
      <c r="F18" t="s">
        <v>2783</v>
      </c>
      <c r="G18" t="s">
        <v>1510</v>
      </c>
    </row>
    <row r="19" spans="1:7" ht="11.25" customHeight="1">
      <c r="A19" s="310" t="s">
        <v>16</v>
      </c>
      <c r="B19" t="s">
        <v>2800</v>
      </c>
      <c r="C19" t="s">
        <v>2801</v>
      </c>
      <c r="D19" t="s">
        <v>2816</v>
      </c>
      <c r="E19" t="s">
        <v>2817</v>
      </c>
      <c r="F19" t="s">
        <v>2783</v>
      </c>
      <c r="G19" t="s">
        <v>1524</v>
      </c>
    </row>
    <row r="20" spans="1:7" ht="11.25" customHeight="1">
      <c r="A20" s="310" t="s">
        <v>16</v>
      </c>
      <c r="B20" t="s">
        <v>2800</v>
      </c>
      <c r="C20" t="s">
        <v>2801</v>
      </c>
      <c r="D20" t="s">
        <v>2818</v>
      </c>
      <c r="E20" t="s">
        <v>2819</v>
      </c>
      <c r="F20" t="s">
        <v>2783</v>
      </c>
      <c r="G20" t="s">
        <v>1536</v>
      </c>
    </row>
    <row r="21" spans="1:7" ht="11.25" customHeight="1">
      <c r="A21" s="310" t="s">
        <v>16</v>
      </c>
      <c r="B21" t="s">
        <v>2800</v>
      </c>
      <c r="C21" t="s">
        <v>2801</v>
      </c>
      <c r="D21" t="s">
        <v>2820</v>
      </c>
      <c r="E21" t="s">
        <v>2821</v>
      </c>
      <c r="F21" t="s">
        <v>2783</v>
      </c>
      <c r="G21" t="s">
        <v>1545</v>
      </c>
    </row>
    <row r="22" spans="1:7" ht="11.25" customHeight="1">
      <c r="A22" s="310" t="s">
        <v>16</v>
      </c>
      <c r="B22" t="s">
        <v>2822</v>
      </c>
      <c r="C22" t="s">
        <v>2823</v>
      </c>
      <c r="D22" t="s">
        <v>2822</v>
      </c>
      <c r="E22" t="s">
        <v>2823</v>
      </c>
      <c r="F22" t="s">
        <v>2784</v>
      </c>
      <c r="G22" t="s">
        <v>1561</v>
      </c>
    </row>
    <row r="23" spans="1:7" ht="11.25" customHeight="1">
      <c r="A23" s="310" t="s">
        <v>16</v>
      </c>
      <c r="B23" t="s">
        <v>2822</v>
      </c>
      <c r="C23" t="s">
        <v>2823</v>
      </c>
      <c r="D23" t="s">
        <v>2824</v>
      </c>
      <c r="E23" t="s">
        <v>2825</v>
      </c>
      <c r="F23" t="s">
        <v>2783</v>
      </c>
      <c r="G23" t="s">
        <v>1567</v>
      </c>
    </row>
    <row r="24" spans="1:7" ht="11.25" customHeight="1">
      <c r="A24" s="310" t="s">
        <v>16</v>
      </c>
      <c r="B24" t="s">
        <v>2822</v>
      </c>
      <c r="C24" t="s">
        <v>2823</v>
      </c>
      <c r="D24" t="s">
        <v>2826</v>
      </c>
      <c r="E24" t="s">
        <v>2827</v>
      </c>
      <c r="F24" t="s">
        <v>2783</v>
      </c>
      <c r="G24" t="s">
        <v>1575</v>
      </c>
    </row>
    <row r="25" spans="1:7" ht="11.25" customHeight="1">
      <c r="A25" s="310" t="s">
        <v>16</v>
      </c>
      <c r="B25" t="s">
        <v>2822</v>
      </c>
      <c r="C25" t="s">
        <v>2823</v>
      </c>
      <c r="D25" t="s">
        <v>2828</v>
      </c>
      <c r="E25" t="s">
        <v>2829</v>
      </c>
      <c r="F25" t="s">
        <v>2783</v>
      </c>
      <c r="G25" t="s">
        <v>1582</v>
      </c>
    </row>
    <row r="26" spans="1:7" ht="11.25" customHeight="1">
      <c r="A26" s="310" t="s">
        <v>16</v>
      </c>
      <c r="B26" t="s">
        <v>2822</v>
      </c>
      <c r="C26" t="s">
        <v>2823</v>
      </c>
      <c r="D26" t="s">
        <v>2830</v>
      </c>
      <c r="E26" t="s">
        <v>2831</v>
      </c>
      <c r="F26" t="s">
        <v>2783</v>
      </c>
      <c r="G26" t="s">
        <v>1586</v>
      </c>
    </row>
    <row r="27" spans="1:7" ht="11.25" customHeight="1">
      <c r="A27" s="310" t="s">
        <v>16</v>
      </c>
      <c r="B27" t="s">
        <v>2822</v>
      </c>
      <c r="C27" t="s">
        <v>2823</v>
      </c>
      <c r="D27" t="s">
        <v>2832</v>
      </c>
      <c r="E27" t="s">
        <v>2833</v>
      </c>
      <c r="F27" t="s">
        <v>2783</v>
      </c>
      <c r="G27" t="s">
        <v>1591</v>
      </c>
    </row>
    <row r="28" spans="1:7" ht="11.25" customHeight="1">
      <c r="A28" s="310" t="s">
        <v>16</v>
      </c>
      <c r="B28" t="s">
        <v>2822</v>
      </c>
      <c r="C28" t="s">
        <v>2823</v>
      </c>
      <c r="D28" t="s">
        <v>2834</v>
      </c>
      <c r="E28" t="s">
        <v>2835</v>
      </c>
      <c r="F28" t="s">
        <v>2783</v>
      </c>
      <c r="G28" t="s">
        <v>1599</v>
      </c>
    </row>
    <row r="29" spans="1:7" ht="11.25" customHeight="1">
      <c r="A29" s="310" t="s">
        <v>16</v>
      </c>
      <c r="B29" t="s">
        <v>2822</v>
      </c>
      <c r="C29" t="s">
        <v>2823</v>
      </c>
      <c r="D29" t="s">
        <v>2836</v>
      </c>
      <c r="E29" t="s">
        <v>2837</v>
      </c>
      <c r="F29" t="s">
        <v>2783</v>
      </c>
      <c r="G29" t="s">
        <v>1601</v>
      </c>
    </row>
    <row r="30" spans="1:7" ht="11.25" customHeight="1">
      <c r="A30" s="310" t="s">
        <v>16</v>
      </c>
      <c r="B30" t="s">
        <v>2822</v>
      </c>
      <c r="C30" t="s">
        <v>2823</v>
      </c>
      <c r="D30" t="s">
        <v>2838</v>
      </c>
      <c r="E30" t="s">
        <v>2839</v>
      </c>
      <c r="F30" t="s">
        <v>2840</v>
      </c>
      <c r="G30" t="s">
        <v>1604</v>
      </c>
    </row>
    <row r="31" spans="1:7" ht="11.25" customHeight="1">
      <c r="A31" s="310" t="s">
        <v>16</v>
      </c>
      <c r="B31" t="s">
        <v>2822</v>
      </c>
      <c r="C31" t="s">
        <v>2823</v>
      </c>
      <c r="D31" t="s">
        <v>2841</v>
      </c>
      <c r="E31" t="s">
        <v>2842</v>
      </c>
      <c r="F31" t="s">
        <v>2799</v>
      </c>
      <c r="G31" t="s">
        <v>1610</v>
      </c>
    </row>
    <row r="32" spans="1:7" ht="11.25" customHeight="1">
      <c r="A32" s="310" t="s">
        <v>16</v>
      </c>
      <c r="B32" t="s">
        <v>2822</v>
      </c>
      <c r="C32" t="s">
        <v>2823</v>
      </c>
      <c r="D32" t="s">
        <v>2843</v>
      </c>
      <c r="E32" t="s">
        <v>2844</v>
      </c>
      <c r="F32" t="s">
        <v>2799</v>
      </c>
      <c r="G32" t="s">
        <v>1612</v>
      </c>
    </row>
    <row r="33" spans="1:7" ht="11.25" customHeight="1">
      <c r="A33" s="310" t="s">
        <v>16</v>
      </c>
      <c r="B33" t="s">
        <v>2845</v>
      </c>
      <c r="C33" t="s">
        <v>2846</v>
      </c>
      <c r="D33" t="s">
        <v>2847</v>
      </c>
      <c r="E33" t="s">
        <v>2848</v>
      </c>
      <c r="F33" t="s">
        <v>2783</v>
      </c>
      <c r="G33" t="s">
        <v>1614</v>
      </c>
    </row>
    <row r="34" spans="1:7" ht="11.25" customHeight="1">
      <c r="A34" s="310" t="s">
        <v>16</v>
      </c>
      <c r="B34" t="s">
        <v>2845</v>
      </c>
      <c r="C34" t="s">
        <v>2846</v>
      </c>
      <c r="D34" t="s">
        <v>2849</v>
      </c>
      <c r="E34" t="s">
        <v>2850</v>
      </c>
      <c r="F34" t="s">
        <v>2783</v>
      </c>
      <c r="G34" t="s">
        <v>1616</v>
      </c>
    </row>
    <row r="35" spans="1:7" ht="11.25" customHeight="1">
      <c r="A35" s="310" t="s">
        <v>16</v>
      </c>
      <c r="B35" t="s">
        <v>2845</v>
      </c>
      <c r="C35" t="s">
        <v>2846</v>
      </c>
      <c r="D35" t="s">
        <v>2845</v>
      </c>
      <c r="E35" t="s">
        <v>2846</v>
      </c>
      <c r="F35" t="s">
        <v>2784</v>
      </c>
      <c r="G35" t="s">
        <v>1621</v>
      </c>
    </row>
    <row r="36" spans="1:7" ht="11.25" customHeight="1">
      <c r="A36" s="310" t="s">
        <v>16</v>
      </c>
      <c r="B36" t="s">
        <v>2845</v>
      </c>
      <c r="C36" t="s">
        <v>2846</v>
      </c>
      <c r="D36" t="s">
        <v>2851</v>
      </c>
      <c r="E36" t="s">
        <v>2852</v>
      </c>
      <c r="F36" t="s">
        <v>2783</v>
      </c>
      <c r="G36" t="s">
        <v>1626</v>
      </c>
    </row>
    <row r="37" spans="1:7" ht="11.25" customHeight="1">
      <c r="A37" s="310" t="s">
        <v>16</v>
      </c>
      <c r="B37" t="s">
        <v>2845</v>
      </c>
      <c r="C37" t="s">
        <v>2846</v>
      </c>
      <c r="D37" t="s">
        <v>2853</v>
      </c>
      <c r="E37" t="s">
        <v>2854</v>
      </c>
      <c r="F37" t="s">
        <v>2783</v>
      </c>
      <c r="G37" t="s">
        <v>1630</v>
      </c>
    </row>
    <row r="38" spans="1:7" ht="11.25" customHeight="1">
      <c r="A38" s="310" t="s">
        <v>16</v>
      </c>
      <c r="B38" t="s">
        <v>2845</v>
      </c>
      <c r="C38" t="s">
        <v>2846</v>
      </c>
      <c r="D38" t="s">
        <v>2855</v>
      </c>
      <c r="E38" t="s">
        <v>2856</v>
      </c>
      <c r="F38" t="s">
        <v>2783</v>
      </c>
      <c r="G38" t="s">
        <v>1638</v>
      </c>
    </row>
    <row r="39" spans="1:7" ht="11.25" customHeight="1">
      <c r="A39" s="310" t="s">
        <v>16</v>
      </c>
      <c r="B39" t="s">
        <v>2845</v>
      </c>
      <c r="C39" t="s">
        <v>2846</v>
      </c>
      <c r="D39" t="s">
        <v>2857</v>
      </c>
      <c r="E39" t="s">
        <v>2858</v>
      </c>
      <c r="F39" t="s">
        <v>2799</v>
      </c>
      <c r="G39" t="s">
        <v>1644</v>
      </c>
    </row>
    <row r="40" spans="1:7" ht="11.25" customHeight="1">
      <c r="A40" s="310" t="s">
        <v>16</v>
      </c>
      <c r="B40" t="s">
        <v>2859</v>
      </c>
      <c r="C40" t="s">
        <v>2860</v>
      </c>
      <c r="D40" t="s">
        <v>2861</v>
      </c>
      <c r="E40" t="s">
        <v>2862</v>
      </c>
      <c r="F40" t="s">
        <v>2783</v>
      </c>
      <c r="G40" t="s">
        <v>1649</v>
      </c>
    </row>
    <row r="41" spans="1:7" ht="11.25" customHeight="1">
      <c r="A41" s="310" t="s">
        <v>16</v>
      </c>
      <c r="B41" t="s">
        <v>2859</v>
      </c>
      <c r="C41" t="s">
        <v>2860</v>
      </c>
      <c r="D41" t="s">
        <v>2859</v>
      </c>
      <c r="E41" t="s">
        <v>2860</v>
      </c>
      <c r="F41" t="s">
        <v>2784</v>
      </c>
      <c r="G41" t="s">
        <v>1653</v>
      </c>
    </row>
    <row r="42" spans="1:7" ht="11.25" customHeight="1">
      <c r="A42" s="310" t="s">
        <v>16</v>
      </c>
      <c r="B42" t="s">
        <v>2859</v>
      </c>
      <c r="C42" t="s">
        <v>2860</v>
      </c>
      <c r="D42" t="s">
        <v>2863</v>
      </c>
      <c r="E42" t="s">
        <v>2864</v>
      </c>
      <c r="F42" t="s">
        <v>2783</v>
      </c>
      <c r="G42" t="s">
        <v>1656</v>
      </c>
    </row>
    <row r="43" spans="1:7" ht="11.25" customHeight="1">
      <c r="A43" s="310" t="s">
        <v>16</v>
      </c>
      <c r="B43" t="s">
        <v>2859</v>
      </c>
      <c r="C43" t="s">
        <v>2860</v>
      </c>
      <c r="D43" t="s">
        <v>2865</v>
      </c>
      <c r="E43" t="s">
        <v>2866</v>
      </c>
      <c r="F43" t="s">
        <v>2783</v>
      </c>
      <c r="G43" t="s">
        <v>1663</v>
      </c>
    </row>
    <row r="44" spans="1:7" ht="11.25" customHeight="1">
      <c r="A44" s="310" t="s">
        <v>16</v>
      </c>
      <c r="B44" t="s">
        <v>2859</v>
      </c>
      <c r="C44" t="s">
        <v>2860</v>
      </c>
      <c r="D44" t="s">
        <v>2867</v>
      </c>
      <c r="E44" t="s">
        <v>2868</v>
      </c>
      <c r="F44" t="s">
        <v>2783</v>
      </c>
      <c r="G44" t="s">
        <v>1672</v>
      </c>
    </row>
    <row r="45" spans="1:7" ht="11.25" customHeight="1">
      <c r="A45" s="310" t="s">
        <v>16</v>
      </c>
      <c r="B45" t="s">
        <v>2859</v>
      </c>
      <c r="C45" t="s">
        <v>2860</v>
      </c>
      <c r="D45" t="s">
        <v>2869</v>
      </c>
      <c r="E45" t="s">
        <v>2870</v>
      </c>
      <c r="F45" t="s">
        <v>2783</v>
      </c>
      <c r="G45" t="s">
        <v>1677</v>
      </c>
    </row>
    <row r="46" spans="1:7" ht="11.25" customHeight="1">
      <c r="A46" s="310" t="s">
        <v>16</v>
      </c>
      <c r="B46" t="s">
        <v>2859</v>
      </c>
      <c r="C46" t="s">
        <v>2860</v>
      </c>
      <c r="D46" t="s">
        <v>2871</v>
      </c>
      <c r="E46" t="s">
        <v>2872</v>
      </c>
      <c r="F46" t="s">
        <v>2783</v>
      </c>
      <c r="G46" t="s">
        <v>1681</v>
      </c>
    </row>
    <row r="47" spans="1:7" ht="11.25" customHeight="1">
      <c r="A47" s="310" t="s">
        <v>16</v>
      </c>
      <c r="B47" t="s">
        <v>2859</v>
      </c>
      <c r="C47" t="s">
        <v>2860</v>
      </c>
      <c r="D47" t="s">
        <v>2873</v>
      </c>
      <c r="E47" t="s">
        <v>2874</v>
      </c>
      <c r="F47" t="s">
        <v>2783</v>
      </c>
      <c r="G47" t="s">
        <v>1686</v>
      </c>
    </row>
    <row r="48" spans="1:7" ht="11.25" customHeight="1">
      <c r="A48" s="310" t="s">
        <v>16</v>
      </c>
      <c r="B48" t="s">
        <v>2859</v>
      </c>
      <c r="C48" t="s">
        <v>2860</v>
      </c>
      <c r="D48" t="s">
        <v>2875</v>
      </c>
      <c r="E48" t="s">
        <v>2876</v>
      </c>
      <c r="F48" t="s">
        <v>2783</v>
      </c>
      <c r="G48" t="s">
        <v>1691</v>
      </c>
    </row>
    <row r="49" spans="1:7" ht="11.25" customHeight="1">
      <c r="A49" s="310" t="s">
        <v>16</v>
      </c>
      <c r="B49" t="s">
        <v>2859</v>
      </c>
      <c r="C49" t="s">
        <v>2860</v>
      </c>
      <c r="D49" t="s">
        <v>2877</v>
      </c>
      <c r="E49" t="s">
        <v>2878</v>
      </c>
      <c r="F49" t="s">
        <v>2799</v>
      </c>
      <c r="G49" t="s">
        <v>1694</v>
      </c>
    </row>
    <row r="50" spans="1:7" ht="11.25" customHeight="1">
      <c r="A50" s="310" t="s">
        <v>16</v>
      </c>
      <c r="B50" t="s">
        <v>2879</v>
      </c>
      <c r="C50" t="s">
        <v>2880</v>
      </c>
      <c r="D50" t="s">
        <v>2881</v>
      </c>
      <c r="E50" t="s">
        <v>2882</v>
      </c>
      <c r="F50" t="s">
        <v>2783</v>
      </c>
      <c r="G50" t="s">
        <v>1698</v>
      </c>
    </row>
    <row r="51" spans="1:7" ht="11.25" customHeight="1">
      <c r="A51" s="310" t="s">
        <v>16</v>
      </c>
      <c r="B51" t="s">
        <v>2879</v>
      </c>
      <c r="C51" t="s">
        <v>2880</v>
      </c>
      <c r="D51" t="s">
        <v>2883</v>
      </c>
      <c r="E51" t="s">
        <v>2884</v>
      </c>
      <c r="F51" t="s">
        <v>2783</v>
      </c>
      <c r="G51" t="s">
        <v>1703</v>
      </c>
    </row>
    <row r="52" spans="1:7" ht="11.25" customHeight="1">
      <c r="A52" s="310" t="s">
        <v>16</v>
      </c>
      <c r="B52" t="s">
        <v>2879</v>
      </c>
      <c r="C52" t="s">
        <v>2880</v>
      </c>
      <c r="D52" t="s">
        <v>2885</v>
      </c>
      <c r="E52" t="s">
        <v>2886</v>
      </c>
      <c r="F52" t="s">
        <v>2783</v>
      </c>
      <c r="G52" t="s">
        <v>1707</v>
      </c>
    </row>
    <row r="53" spans="1:7" ht="11.25" customHeight="1">
      <c r="A53" s="310" t="s">
        <v>16</v>
      </c>
      <c r="B53" t="s">
        <v>2879</v>
      </c>
      <c r="C53" t="s">
        <v>2880</v>
      </c>
      <c r="D53" t="s">
        <v>2879</v>
      </c>
      <c r="E53" t="s">
        <v>2880</v>
      </c>
      <c r="F53" t="s">
        <v>2784</v>
      </c>
      <c r="G53" t="s">
        <v>1709</v>
      </c>
    </row>
    <row r="54" spans="1:7" ht="11.25" customHeight="1">
      <c r="A54" s="310" t="s">
        <v>16</v>
      </c>
      <c r="B54" t="s">
        <v>2879</v>
      </c>
      <c r="C54" t="s">
        <v>2880</v>
      </c>
      <c r="D54" t="s">
        <v>2887</v>
      </c>
      <c r="E54" t="s">
        <v>2888</v>
      </c>
      <c r="F54" t="s">
        <v>2783</v>
      </c>
      <c r="G54" t="s">
        <v>1712</v>
      </c>
    </row>
    <row r="55" spans="1:7" ht="11.25" customHeight="1">
      <c r="A55" s="310" t="s">
        <v>16</v>
      </c>
      <c r="B55" t="s">
        <v>2879</v>
      </c>
      <c r="C55" t="s">
        <v>2880</v>
      </c>
      <c r="D55" t="s">
        <v>2889</v>
      </c>
      <c r="E55" t="s">
        <v>2890</v>
      </c>
      <c r="F55" t="s">
        <v>2783</v>
      </c>
      <c r="G55" t="s">
        <v>1716</v>
      </c>
    </row>
    <row r="56" spans="1:7" ht="11.25" customHeight="1">
      <c r="A56" s="310" t="s">
        <v>16</v>
      </c>
      <c r="B56" t="s">
        <v>2879</v>
      </c>
      <c r="C56" t="s">
        <v>2880</v>
      </c>
      <c r="D56" t="s">
        <v>2891</v>
      </c>
      <c r="E56" t="s">
        <v>2892</v>
      </c>
      <c r="F56" t="s">
        <v>2799</v>
      </c>
      <c r="G56" t="s">
        <v>1719</v>
      </c>
    </row>
    <row r="57" spans="1:7" ht="11.25" customHeight="1">
      <c r="A57" s="310" t="s">
        <v>16</v>
      </c>
      <c r="B57" t="s">
        <v>2893</v>
      </c>
      <c r="C57" t="s">
        <v>2894</v>
      </c>
      <c r="D57" t="s">
        <v>2895</v>
      </c>
      <c r="E57" t="s">
        <v>2896</v>
      </c>
      <c r="F57" t="s">
        <v>2783</v>
      </c>
      <c r="G57" t="s">
        <v>1722</v>
      </c>
    </row>
    <row r="58" spans="1:7" ht="11.25" customHeight="1">
      <c r="A58" s="310" t="s">
        <v>16</v>
      </c>
      <c r="B58" t="s">
        <v>2893</v>
      </c>
      <c r="C58" t="s">
        <v>2894</v>
      </c>
      <c r="D58" t="s">
        <v>2897</v>
      </c>
      <c r="E58" t="s">
        <v>2898</v>
      </c>
      <c r="F58" t="s">
        <v>2783</v>
      </c>
      <c r="G58" t="s">
        <v>1725</v>
      </c>
    </row>
    <row r="59" spans="1:7" ht="11.25" customHeight="1">
      <c r="A59" s="310" t="s">
        <v>16</v>
      </c>
      <c r="B59" t="s">
        <v>2893</v>
      </c>
      <c r="C59" t="s">
        <v>2894</v>
      </c>
      <c r="D59" t="s">
        <v>2899</v>
      </c>
      <c r="E59" t="s">
        <v>2900</v>
      </c>
      <c r="F59" t="s">
        <v>2783</v>
      </c>
      <c r="G59" t="s">
        <v>1729</v>
      </c>
    </row>
    <row r="60" spans="1:7" ht="11.25" customHeight="1">
      <c r="A60" s="310" t="s">
        <v>16</v>
      </c>
      <c r="B60" t="s">
        <v>2893</v>
      </c>
      <c r="C60" t="s">
        <v>2894</v>
      </c>
      <c r="D60" t="s">
        <v>2901</v>
      </c>
      <c r="E60" t="s">
        <v>2902</v>
      </c>
      <c r="F60" t="s">
        <v>2783</v>
      </c>
      <c r="G60" t="s">
        <v>1731</v>
      </c>
    </row>
    <row r="61" spans="1:7" ht="11.25" customHeight="1">
      <c r="A61" s="310" t="s">
        <v>16</v>
      </c>
      <c r="B61" t="s">
        <v>2893</v>
      </c>
      <c r="C61" t="s">
        <v>2894</v>
      </c>
      <c r="D61" t="s">
        <v>2810</v>
      </c>
      <c r="E61" t="s">
        <v>2903</v>
      </c>
      <c r="F61" t="s">
        <v>2783</v>
      </c>
      <c r="G61" t="s">
        <v>2904</v>
      </c>
    </row>
    <row r="62" spans="1:7" ht="11.25" customHeight="1">
      <c r="A62" s="310" t="s">
        <v>16</v>
      </c>
      <c r="B62" t="s">
        <v>2893</v>
      </c>
      <c r="C62" t="s">
        <v>2894</v>
      </c>
      <c r="D62" t="s">
        <v>2905</v>
      </c>
      <c r="E62" t="s">
        <v>2906</v>
      </c>
      <c r="F62" t="s">
        <v>2783</v>
      </c>
      <c r="G62" t="s">
        <v>2907</v>
      </c>
    </row>
    <row r="63" spans="1:7" ht="11.25" customHeight="1">
      <c r="A63" s="310" t="s">
        <v>16</v>
      </c>
      <c r="B63" t="s">
        <v>2893</v>
      </c>
      <c r="C63" t="s">
        <v>2894</v>
      </c>
      <c r="D63" t="s">
        <v>2908</v>
      </c>
      <c r="E63" t="s">
        <v>2909</v>
      </c>
      <c r="F63" t="s">
        <v>2783</v>
      </c>
      <c r="G63" t="s">
        <v>2910</v>
      </c>
    </row>
    <row r="64" spans="1:7" ht="11.25" customHeight="1">
      <c r="A64" s="310" t="s">
        <v>16</v>
      </c>
      <c r="B64" t="s">
        <v>2893</v>
      </c>
      <c r="C64" t="s">
        <v>2894</v>
      </c>
      <c r="D64" t="s">
        <v>2911</v>
      </c>
      <c r="E64" t="s">
        <v>2912</v>
      </c>
      <c r="F64" t="s">
        <v>2783</v>
      </c>
      <c r="G64" t="s">
        <v>2913</v>
      </c>
    </row>
    <row r="65" spans="1:7" ht="11.25" customHeight="1">
      <c r="A65" s="310" t="s">
        <v>16</v>
      </c>
      <c r="B65" t="s">
        <v>2893</v>
      </c>
      <c r="C65" t="s">
        <v>2894</v>
      </c>
      <c r="D65" t="s">
        <v>2893</v>
      </c>
      <c r="E65" t="s">
        <v>2894</v>
      </c>
      <c r="F65" t="s">
        <v>2784</v>
      </c>
      <c r="G65" t="s">
        <v>2914</v>
      </c>
    </row>
    <row r="66" spans="1:7" ht="11.25" customHeight="1">
      <c r="A66" s="310" t="s">
        <v>16</v>
      </c>
      <c r="B66" t="s">
        <v>2893</v>
      </c>
      <c r="C66" t="s">
        <v>2894</v>
      </c>
      <c r="D66" t="s">
        <v>2915</v>
      </c>
      <c r="E66" t="s">
        <v>2916</v>
      </c>
      <c r="F66" t="s">
        <v>2783</v>
      </c>
      <c r="G66" t="s">
        <v>2917</v>
      </c>
    </row>
    <row r="67" spans="1:7" ht="11.25" customHeight="1">
      <c r="A67" s="310" t="s">
        <v>16</v>
      </c>
      <c r="B67" t="s">
        <v>2893</v>
      </c>
      <c r="C67" t="s">
        <v>2894</v>
      </c>
      <c r="D67" t="s">
        <v>2918</v>
      </c>
      <c r="E67" t="s">
        <v>2919</v>
      </c>
      <c r="F67" t="s">
        <v>2783</v>
      </c>
      <c r="G67" t="s">
        <v>2044</v>
      </c>
    </row>
    <row r="68" spans="1:7" ht="11.25" customHeight="1">
      <c r="A68" s="310" t="s">
        <v>16</v>
      </c>
      <c r="B68" t="s">
        <v>2893</v>
      </c>
      <c r="C68" t="s">
        <v>2894</v>
      </c>
      <c r="D68" t="s">
        <v>2920</v>
      </c>
      <c r="E68" t="s">
        <v>2921</v>
      </c>
      <c r="F68" t="s">
        <v>2783</v>
      </c>
      <c r="G68" t="s">
        <v>2922</v>
      </c>
    </row>
    <row r="69" spans="1:7" ht="11.25" customHeight="1">
      <c r="A69" s="310" t="s">
        <v>16</v>
      </c>
      <c r="B69" t="s">
        <v>2893</v>
      </c>
      <c r="C69" t="s">
        <v>2894</v>
      </c>
      <c r="D69" t="s">
        <v>2923</v>
      </c>
      <c r="E69" t="s">
        <v>2924</v>
      </c>
      <c r="F69" t="s">
        <v>2783</v>
      </c>
      <c r="G69" t="s">
        <v>2247</v>
      </c>
    </row>
    <row r="70" spans="1:7" ht="11.25" customHeight="1">
      <c r="A70" s="310" t="s">
        <v>16</v>
      </c>
      <c r="B70" t="s">
        <v>2893</v>
      </c>
      <c r="C70" t="s">
        <v>2894</v>
      </c>
      <c r="D70" t="s">
        <v>2925</v>
      </c>
      <c r="E70" t="s">
        <v>2926</v>
      </c>
      <c r="F70" t="s">
        <v>2783</v>
      </c>
      <c r="G70" t="s">
        <v>2927</v>
      </c>
    </row>
    <row r="71" spans="1:7" ht="11.25" customHeight="1">
      <c r="A71" s="310" t="s">
        <v>16</v>
      </c>
      <c r="B71" t="s">
        <v>2893</v>
      </c>
      <c r="C71" t="s">
        <v>2894</v>
      </c>
      <c r="D71" t="s">
        <v>2928</v>
      </c>
      <c r="E71" t="s">
        <v>2929</v>
      </c>
      <c r="F71" t="s">
        <v>2783</v>
      </c>
      <c r="G71" t="s">
        <v>2930</v>
      </c>
    </row>
    <row r="72" spans="1:7" ht="11.25" customHeight="1">
      <c r="A72" s="310" t="s">
        <v>16</v>
      </c>
      <c r="B72" t="s">
        <v>2893</v>
      </c>
      <c r="C72" t="s">
        <v>2894</v>
      </c>
      <c r="D72" t="s">
        <v>2931</v>
      </c>
      <c r="E72" t="s">
        <v>2932</v>
      </c>
      <c r="F72" t="s">
        <v>2783</v>
      </c>
      <c r="G72" t="s">
        <v>2933</v>
      </c>
    </row>
    <row r="73" spans="1:7" ht="11.25" customHeight="1">
      <c r="A73" s="310" t="s">
        <v>16</v>
      </c>
      <c r="B73" t="s">
        <v>2893</v>
      </c>
      <c r="C73" t="s">
        <v>2894</v>
      </c>
      <c r="D73" t="s">
        <v>2934</v>
      </c>
      <c r="E73" t="s">
        <v>2935</v>
      </c>
      <c r="F73" t="s">
        <v>2783</v>
      </c>
      <c r="G73" t="s">
        <v>2936</v>
      </c>
    </row>
    <row r="74" spans="1:7" ht="11.25" customHeight="1">
      <c r="A74" s="310" t="s">
        <v>16</v>
      </c>
      <c r="B74" t="s">
        <v>2893</v>
      </c>
      <c r="C74" t="s">
        <v>2894</v>
      </c>
      <c r="D74" t="s">
        <v>2937</v>
      </c>
      <c r="E74" t="s">
        <v>2938</v>
      </c>
      <c r="F74" t="s">
        <v>2799</v>
      </c>
      <c r="G74" t="s">
        <v>2939</v>
      </c>
    </row>
    <row r="75" spans="1:7" ht="11.25" customHeight="1">
      <c r="A75" s="310" t="s">
        <v>16</v>
      </c>
      <c r="B75" t="s">
        <v>2893</v>
      </c>
      <c r="C75" t="s">
        <v>2894</v>
      </c>
      <c r="D75" t="s">
        <v>2940</v>
      </c>
      <c r="E75" t="s">
        <v>2941</v>
      </c>
      <c r="F75" t="s">
        <v>2799</v>
      </c>
      <c r="G75" t="s">
        <v>2942</v>
      </c>
    </row>
    <row r="76" spans="1:7" ht="11.25" customHeight="1">
      <c r="A76" s="310" t="s">
        <v>16</v>
      </c>
      <c r="B76" t="s">
        <v>2943</v>
      </c>
      <c r="C76" t="s">
        <v>2944</v>
      </c>
      <c r="D76" t="s">
        <v>2945</v>
      </c>
      <c r="E76" t="s">
        <v>2946</v>
      </c>
      <c r="F76" t="s">
        <v>2783</v>
      </c>
      <c r="G76" t="s">
        <v>2947</v>
      </c>
    </row>
    <row r="77" spans="1:7" ht="11.25" customHeight="1">
      <c r="A77" s="310" t="s">
        <v>16</v>
      </c>
      <c r="B77" t="s">
        <v>2943</v>
      </c>
      <c r="C77" t="s">
        <v>2944</v>
      </c>
      <c r="D77" t="s">
        <v>2948</v>
      </c>
      <c r="E77" t="s">
        <v>2949</v>
      </c>
      <c r="F77" t="s">
        <v>2783</v>
      </c>
      <c r="G77" t="s">
        <v>2950</v>
      </c>
    </row>
    <row r="78" spans="1:7" ht="11.25" customHeight="1">
      <c r="A78" s="310" t="s">
        <v>16</v>
      </c>
      <c r="B78" t="s">
        <v>2943</v>
      </c>
      <c r="C78" t="s">
        <v>2944</v>
      </c>
      <c r="D78" t="s">
        <v>2951</v>
      </c>
      <c r="E78" t="s">
        <v>2952</v>
      </c>
      <c r="F78" t="s">
        <v>2783</v>
      </c>
      <c r="G78" t="s">
        <v>2953</v>
      </c>
    </row>
    <row r="79" spans="1:7" ht="11.25" customHeight="1">
      <c r="A79" s="310" t="s">
        <v>16</v>
      </c>
      <c r="B79" t="s">
        <v>2943</v>
      </c>
      <c r="C79" t="s">
        <v>2944</v>
      </c>
      <c r="D79" t="s">
        <v>2943</v>
      </c>
      <c r="E79" t="s">
        <v>2944</v>
      </c>
      <c r="F79" t="s">
        <v>2784</v>
      </c>
      <c r="G79" t="s">
        <v>2954</v>
      </c>
    </row>
    <row r="80" spans="1:7" ht="11.25" customHeight="1">
      <c r="A80" s="310" t="s">
        <v>16</v>
      </c>
      <c r="B80" t="s">
        <v>2943</v>
      </c>
      <c r="C80" t="s">
        <v>2944</v>
      </c>
      <c r="D80" t="s">
        <v>2955</v>
      </c>
      <c r="E80" t="s">
        <v>2956</v>
      </c>
      <c r="F80" t="s">
        <v>2783</v>
      </c>
      <c r="G80" t="s">
        <v>2957</v>
      </c>
    </row>
    <row r="81" spans="1:7" ht="11.25" customHeight="1">
      <c r="A81" s="310" t="s">
        <v>16</v>
      </c>
      <c r="B81" t="s">
        <v>2943</v>
      </c>
      <c r="C81" t="s">
        <v>2944</v>
      </c>
      <c r="D81" t="s">
        <v>2958</v>
      </c>
      <c r="E81" t="s">
        <v>2959</v>
      </c>
      <c r="F81" t="s">
        <v>2783</v>
      </c>
      <c r="G81" t="s">
        <v>2960</v>
      </c>
    </row>
    <row r="82" spans="1:7" ht="11.25" customHeight="1">
      <c r="A82" s="310" t="s">
        <v>16</v>
      </c>
      <c r="B82" t="s">
        <v>2943</v>
      </c>
      <c r="C82" t="s">
        <v>2944</v>
      </c>
      <c r="D82" t="s">
        <v>2961</v>
      </c>
      <c r="E82" t="s">
        <v>2962</v>
      </c>
      <c r="F82" t="s">
        <v>2783</v>
      </c>
      <c r="G82" t="s">
        <v>2963</v>
      </c>
    </row>
    <row r="83" spans="1:7" ht="11.25" customHeight="1">
      <c r="A83" s="310" t="s">
        <v>16</v>
      </c>
      <c r="B83" t="s">
        <v>2943</v>
      </c>
      <c r="C83" t="s">
        <v>2944</v>
      </c>
      <c r="D83" t="s">
        <v>2964</v>
      </c>
      <c r="E83" t="s">
        <v>2965</v>
      </c>
      <c r="F83" t="s">
        <v>2783</v>
      </c>
      <c r="G83" t="s">
        <v>2966</v>
      </c>
    </row>
    <row r="84" spans="1:7" ht="11.25" customHeight="1">
      <c r="A84" s="310" t="s">
        <v>16</v>
      </c>
      <c r="B84" t="s">
        <v>2943</v>
      </c>
      <c r="C84" t="s">
        <v>2944</v>
      </c>
      <c r="D84" t="s">
        <v>2967</v>
      </c>
      <c r="E84" t="s">
        <v>2968</v>
      </c>
      <c r="F84" t="s">
        <v>2783</v>
      </c>
      <c r="G84" t="s">
        <v>2969</v>
      </c>
    </row>
    <row r="85" spans="1:7" ht="11.25" customHeight="1">
      <c r="A85" s="310" t="s">
        <v>16</v>
      </c>
      <c r="B85" t="s">
        <v>2943</v>
      </c>
      <c r="C85" t="s">
        <v>2944</v>
      </c>
      <c r="D85" t="s">
        <v>2970</v>
      </c>
      <c r="E85" t="s">
        <v>2971</v>
      </c>
      <c r="F85" t="s">
        <v>2783</v>
      </c>
      <c r="G85" t="s">
        <v>2972</v>
      </c>
    </row>
    <row r="86" spans="1:7" ht="11.25" customHeight="1">
      <c r="A86" s="310" t="s">
        <v>16</v>
      </c>
      <c r="B86" t="s">
        <v>2943</v>
      </c>
      <c r="C86" t="s">
        <v>2944</v>
      </c>
      <c r="D86" t="s">
        <v>2973</v>
      </c>
      <c r="E86" t="s">
        <v>2974</v>
      </c>
      <c r="F86" t="s">
        <v>2799</v>
      </c>
      <c r="G86" t="s">
        <v>2975</v>
      </c>
    </row>
    <row r="87" spans="1:7" ht="11.25" customHeight="1">
      <c r="A87" s="310" t="s">
        <v>16</v>
      </c>
      <c r="B87" t="s">
        <v>2976</v>
      </c>
      <c r="C87" t="s">
        <v>2977</v>
      </c>
      <c r="D87" t="s">
        <v>2978</v>
      </c>
      <c r="E87" t="s">
        <v>2979</v>
      </c>
      <c r="F87" t="s">
        <v>2783</v>
      </c>
      <c r="G87" t="s">
        <v>2980</v>
      </c>
    </row>
    <row r="88" spans="1:7" ht="11.25" customHeight="1">
      <c r="A88" s="310" t="s">
        <v>16</v>
      </c>
      <c r="B88" t="s">
        <v>2976</v>
      </c>
      <c r="C88" t="s">
        <v>2977</v>
      </c>
      <c r="D88" t="s">
        <v>2976</v>
      </c>
      <c r="E88" t="s">
        <v>2977</v>
      </c>
      <c r="F88" t="s">
        <v>2784</v>
      </c>
      <c r="G88" t="s">
        <v>2981</v>
      </c>
    </row>
    <row r="89" spans="1:7" ht="11.25" customHeight="1">
      <c r="A89" s="310" t="s">
        <v>16</v>
      </c>
      <c r="B89" t="s">
        <v>2976</v>
      </c>
      <c r="C89" t="s">
        <v>2977</v>
      </c>
      <c r="D89" t="s">
        <v>2982</v>
      </c>
      <c r="E89" t="s">
        <v>2983</v>
      </c>
      <c r="F89" t="s">
        <v>2783</v>
      </c>
      <c r="G89" t="s">
        <v>2984</v>
      </c>
    </row>
    <row r="90" spans="1:7" ht="11.25" customHeight="1">
      <c r="A90" s="310" t="s">
        <v>16</v>
      </c>
      <c r="B90" t="s">
        <v>2976</v>
      </c>
      <c r="C90" t="s">
        <v>2977</v>
      </c>
      <c r="D90" t="s">
        <v>2985</v>
      </c>
      <c r="E90" t="s">
        <v>2986</v>
      </c>
      <c r="F90" t="s">
        <v>2783</v>
      </c>
      <c r="G90" t="s">
        <v>2987</v>
      </c>
    </row>
    <row r="91" spans="1:7" ht="11.25" customHeight="1">
      <c r="A91" s="310" t="s">
        <v>16</v>
      </c>
      <c r="B91" t="s">
        <v>2976</v>
      </c>
      <c r="C91" t="s">
        <v>2977</v>
      </c>
      <c r="D91" t="s">
        <v>2988</v>
      </c>
      <c r="E91" t="s">
        <v>2989</v>
      </c>
      <c r="F91" t="s">
        <v>2783</v>
      </c>
      <c r="G91" t="s">
        <v>2990</v>
      </c>
    </row>
    <row r="92" spans="1:7" ht="11.25" customHeight="1">
      <c r="A92" s="310" t="s">
        <v>16</v>
      </c>
      <c r="B92" t="s">
        <v>2976</v>
      </c>
      <c r="C92" t="s">
        <v>2977</v>
      </c>
      <c r="D92" t="s">
        <v>2991</v>
      </c>
      <c r="E92" t="s">
        <v>2992</v>
      </c>
      <c r="F92" t="s">
        <v>2799</v>
      </c>
      <c r="G92" t="s">
        <v>2993</v>
      </c>
    </row>
    <row r="93" spans="1:7" ht="11.25" customHeight="1">
      <c r="A93" s="310" t="s">
        <v>16</v>
      </c>
      <c r="B93" t="s">
        <v>2994</v>
      </c>
      <c r="C93" t="s">
        <v>2995</v>
      </c>
      <c r="D93" t="s">
        <v>2996</v>
      </c>
      <c r="E93" t="s">
        <v>2997</v>
      </c>
      <c r="F93" t="s">
        <v>2783</v>
      </c>
      <c r="G93" t="s">
        <v>2998</v>
      </c>
    </row>
    <row r="94" spans="1:7" ht="11.25" customHeight="1">
      <c r="A94" s="310" t="s">
        <v>16</v>
      </c>
      <c r="B94" t="s">
        <v>2994</v>
      </c>
      <c r="C94" t="s">
        <v>2995</v>
      </c>
      <c r="D94" t="s">
        <v>2999</v>
      </c>
      <c r="E94" t="s">
        <v>3000</v>
      </c>
      <c r="F94" t="s">
        <v>2783</v>
      </c>
      <c r="G94" t="s">
        <v>3001</v>
      </c>
    </row>
    <row r="95" spans="1:7" ht="11.25" customHeight="1">
      <c r="A95" s="310" t="s">
        <v>16</v>
      </c>
      <c r="B95" t="s">
        <v>2994</v>
      </c>
      <c r="C95" t="s">
        <v>2995</v>
      </c>
      <c r="D95" t="s">
        <v>2994</v>
      </c>
      <c r="E95" t="s">
        <v>2995</v>
      </c>
      <c r="F95" t="s">
        <v>2784</v>
      </c>
      <c r="G95" t="s">
        <v>3002</v>
      </c>
    </row>
    <row r="96" spans="1:7" ht="11.25" customHeight="1">
      <c r="A96" s="310" t="s">
        <v>16</v>
      </c>
      <c r="B96" t="s">
        <v>2994</v>
      </c>
      <c r="C96" t="s">
        <v>2995</v>
      </c>
      <c r="D96" t="s">
        <v>3003</v>
      </c>
      <c r="E96" t="s">
        <v>3004</v>
      </c>
      <c r="F96" t="s">
        <v>2783</v>
      </c>
      <c r="G96" t="s">
        <v>3005</v>
      </c>
    </row>
    <row r="97" spans="1:7" ht="11.25" customHeight="1">
      <c r="A97" s="310" t="s">
        <v>16</v>
      </c>
      <c r="B97" t="s">
        <v>2994</v>
      </c>
      <c r="C97" t="s">
        <v>2995</v>
      </c>
      <c r="D97" t="s">
        <v>3006</v>
      </c>
      <c r="E97" t="s">
        <v>3007</v>
      </c>
      <c r="F97" t="s">
        <v>2799</v>
      </c>
      <c r="G97" t="s">
        <v>3008</v>
      </c>
    </row>
    <row r="98" spans="1:7" ht="11.25" customHeight="1">
      <c r="A98" s="310" t="s">
        <v>16</v>
      </c>
      <c r="B98" t="s">
        <v>3009</v>
      </c>
      <c r="C98" t="s">
        <v>3010</v>
      </c>
      <c r="D98" t="s">
        <v>3011</v>
      </c>
      <c r="E98" t="s">
        <v>3012</v>
      </c>
      <c r="F98" t="s">
        <v>2783</v>
      </c>
      <c r="G98" t="s">
        <v>3013</v>
      </c>
    </row>
    <row r="99" spans="1:7" ht="11.25" customHeight="1">
      <c r="A99" s="310" t="s">
        <v>16</v>
      </c>
      <c r="B99" t="s">
        <v>3009</v>
      </c>
      <c r="C99" t="s">
        <v>3010</v>
      </c>
      <c r="D99" t="s">
        <v>3014</v>
      </c>
      <c r="E99" t="s">
        <v>3015</v>
      </c>
      <c r="F99" t="s">
        <v>2783</v>
      </c>
      <c r="G99" t="s">
        <v>3016</v>
      </c>
    </row>
    <row r="100" spans="1:7" ht="11.25" customHeight="1">
      <c r="A100" s="310" t="s">
        <v>16</v>
      </c>
      <c r="B100" t="s">
        <v>3009</v>
      </c>
      <c r="C100" t="s">
        <v>3010</v>
      </c>
      <c r="D100" t="s">
        <v>3017</v>
      </c>
      <c r="E100" t="s">
        <v>3018</v>
      </c>
      <c r="F100" t="s">
        <v>2783</v>
      </c>
      <c r="G100" t="s">
        <v>3019</v>
      </c>
    </row>
    <row r="101" spans="1:7" ht="11.25" customHeight="1">
      <c r="A101" s="310" t="s">
        <v>16</v>
      </c>
      <c r="B101" t="s">
        <v>3009</v>
      </c>
      <c r="C101" t="s">
        <v>3010</v>
      </c>
      <c r="D101" t="s">
        <v>3020</v>
      </c>
      <c r="E101" t="s">
        <v>3021</v>
      </c>
      <c r="F101" t="s">
        <v>2783</v>
      </c>
      <c r="G101" t="s">
        <v>3022</v>
      </c>
    </row>
    <row r="102" spans="1:7" ht="11.25" customHeight="1">
      <c r="A102" s="310" t="s">
        <v>16</v>
      </c>
      <c r="B102" t="s">
        <v>3009</v>
      </c>
      <c r="C102" t="s">
        <v>3010</v>
      </c>
      <c r="D102" t="s">
        <v>3023</v>
      </c>
      <c r="E102" t="s">
        <v>3024</v>
      </c>
      <c r="F102" t="s">
        <v>2783</v>
      </c>
      <c r="G102" t="s">
        <v>3025</v>
      </c>
    </row>
    <row r="103" spans="1:7" ht="11.25" customHeight="1">
      <c r="A103" s="310" t="s">
        <v>16</v>
      </c>
      <c r="B103" t="s">
        <v>3009</v>
      </c>
      <c r="C103" t="s">
        <v>3010</v>
      </c>
      <c r="D103" t="s">
        <v>3009</v>
      </c>
      <c r="E103" t="s">
        <v>3010</v>
      </c>
      <c r="F103" t="s">
        <v>2784</v>
      </c>
      <c r="G103" t="s">
        <v>3026</v>
      </c>
    </row>
    <row r="104" spans="1:7" ht="11.25" customHeight="1">
      <c r="A104" s="310" t="s">
        <v>16</v>
      </c>
      <c r="B104" t="s">
        <v>3009</v>
      </c>
      <c r="C104" t="s">
        <v>3010</v>
      </c>
      <c r="D104" t="s">
        <v>3027</v>
      </c>
      <c r="E104" t="s">
        <v>3028</v>
      </c>
      <c r="F104" t="s">
        <v>2783</v>
      </c>
      <c r="G104" t="s">
        <v>3029</v>
      </c>
    </row>
    <row r="105" spans="1:7" ht="11.25" customHeight="1">
      <c r="A105" s="310" t="s">
        <v>16</v>
      </c>
      <c r="B105" t="s">
        <v>3009</v>
      </c>
      <c r="C105" t="s">
        <v>3010</v>
      </c>
      <c r="D105" t="s">
        <v>3030</v>
      </c>
      <c r="E105" t="s">
        <v>3031</v>
      </c>
      <c r="F105" t="s">
        <v>2783</v>
      </c>
      <c r="G105" t="s">
        <v>3032</v>
      </c>
    </row>
    <row r="106" spans="1:7" ht="11.25" customHeight="1">
      <c r="A106" s="310" t="s">
        <v>16</v>
      </c>
      <c r="B106" t="s">
        <v>3009</v>
      </c>
      <c r="C106" t="s">
        <v>3010</v>
      </c>
      <c r="D106" t="s">
        <v>3033</v>
      </c>
      <c r="E106" t="s">
        <v>3034</v>
      </c>
      <c r="F106" t="s">
        <v>2783</v>
      </c>
      <c r="G106" t="s">
        <v>3035</v>
      </c>
    </row>
    <row r="107" spans="1:7" ht="11.25" customHeight="1">
      <c r="A107" s="310" t="s">
        <v>16</v>
      </c>
      <c r="B107" t="s">
        <v>3009</v>
      </c>
      <c r="C107" t="s">
        <v>3010</v>
      </c>
      <c r="D107" t="s">
        <v>3036</v>
      </c>
      <c r="E107" t="s">
        <v>3037</v>
      </c>
      <c r="F107" t="s">
        <v>2799</v>
      </c>
      <c r="G107" t="s">
        <v>3038</v>
      </c>
    </row>
    <row r="108" spans="1:7" ht="11.25" customHeight="1">
      <c r="A108" s="310" t="s">
        <v>16</v>
      </c>
      <c r="B108" t="s">
        <v>3039</v>
      </c>
      <c r="C108" t="s">
        <v>3040</v>
      </c>
      <c r="D108" t="s">
        <v>3041</v>
      </c>
      <c r="E108" t="s">
        <v>3042</v>
      </c>
      <c r="F108" t="s">
        <v>2783</v>
      </c>
      <c r="G108" t="s">
        <v>3043</v>
      </c>
    </row>
    <row r="109" spans="1:7" ht="11.25" customHeight="1">
      <c r="A109" s="310" t="s">
        <v>16</v>
      </c>
      <c r="B109" t="s">
        <v>3039</v>
      </c>
      <c r="C109" t="s">
        <v>3040</v>
      </c>
      <c r="D109" t="s">
        <v>3044</v>
      </c>
      <c r="E109" t="s">
        <v>3045</v>
      </c>
      <c r="F109" t="s">
        <v>2783</v>
      </c>
      <c r="G109" t="s">
        <v>3046</v>
      </c>
    </row>
    <row r="110" spans="1:7" ht="11.25" customHeight="1">
      <c r="A110" s="310" t="s">
        <v>16</v>
      </c>
      <c r="B110" t="s">
        <v>3039</v>
      </c>
      <c r="C110" t="s">
        <v>3040</v>
      </c>
      <c r="D110" t="s">
        <v>3047</v>
      </c>
      <c r="E110" t="s">
        <v>3048</v>
      </c>
      <c r="F110" t="s">
        <v>2783</v>
      </c>
      <c r="G110" t="s">
        <v>3049</v>
      </c>
    </row>
    <row r="111" spans="1:7" ht="11.25" customHeight="1">
      <c r="A111" s="310" t="s">
        <v>16</v>
      </c>
      <c r="B111" t="s">
        <v>3039</v>
      </c>
      <c r="C111" t="s">
        <v>3040</v>
      </c>
      <c r="D111" t="s">
        <v>3050</v>
      </c>
      <c r="E111" t="s">
        <v>3051</v>
      </c>
      <c r="F111" t="s">
        <v>2783</v>
      </c>
      <c r="G111" t="s">
        <v>3052</v>
      </c>
    </row>
    <row r="112" spans="1:7" ht="11.25" customHeight="1">
      <c r="A112" s="310" t="s">
        <v>16</v>
      </c>
      <c r="B112" t="s">
        <v>3039</v>
      </c>
      <c r="C112" t="s">
        <v>3040</v>
      </c>
      <c r="D112" t="s">
        <v>3053</v>
      </c>
      <c r="E112" t="s">
        <v>3054</v>
      </c>
      <c r="F112" t="s">
        <v>2783</v>
      </c>
      <c r="G112" t="s">
        <v>3055</v>
      </c>
    </row>
    <row r="113" spans="1:7" ht="11.25" customHeight="1">
      <c r="A113" s="310" t="s">
        <v>16</v>
      </c>
      <c r="B113" t="s">
        <v>3039</v>
      </c>
      <c r="C113" t="s">
        <v>3040</v>
      </c>
      <c r="D113" t="s">
        <v>3056</v>
      </c>
      <c r="E113" t="s">
        <v>3057</v>
      </c>
      <c r="F113" t="s">
        <v>2783</v>
      </c>
      <c r="G113" t="s">
        <v>3058</v>
      </c>
    </row>
    <row r="114" spans="1:7" ht="11.25" customHeight="1">
      <c r="A114" s="310" t="s">
        <v>16</v>
      </c>
      <c r="B114" t="s">
        <v>3039</v>
      </c>
      <c r="C114" t="s">
        <v>3040</v>
      </c>
      <c r="D114" t="s">
        <v>3059</v>
      </c>
      <c r="E114" t="s">
        <v>3060</v>
      </c>
      <c r="F114" t="s">
        <v>2783</v>
      </c>
      <c r="G114" t="s">
        <v>3061</v>
      </c>
    </row>
    <row r="115" spans="1:7" ht="11.25" customHeight="1">
      <c r="A115" s="310" t="s">
        <v>16</v>
      </c>
      <c r="B115" t="s">
        <v>3039</v>
      </c>
      <c r="C115" t="s">
        <v>3040</v>
      </c>
      <c r="D115" t="s">
        <v>3039</v>
      </c>
      <c r="E115" t="s">
        <v>3040</v>
      </c>
      <c r="F115" t="s">
        <v>2784</v>
      </c>
      <c r="G115" t="s">
        <v>3062</v>
      </c>
    </row>
    <row r="116" spans="1:7" ht="11.25" customHeight="1">
      <c r="A116" s="310" t="s">
        <v>16</v>
      </c>
      <c r="B116" t="s">
        <v>3039</v>
      </c>
      <c r="C116" t="s">
        <v>3040</v>
      </c>
      <c r="D116" t="s">
        <v>3063</v>
      </c>
      <c r="E116" t="s">
        <v>3064</v>
      </c>
      <c r="F116" t="s">
        <v>2783</v>
      </c>
      <c r="G116" t="s">
        <v>3065</v>
      </c>
    </row>
    <row r="117" spans="1:7" ht="11.25" customHeight="1">
      <c r="A117" s="310" t="s">
        <v>16</v>
      </c>
      <c r="B117" t="s">
        <v>3039</v>
      </c>
      <c r="C117" t="s">
        <v>3040</v>
      </c>
      <c r="D117" t="s">
        <v>3066</v>
      </c>
      <c r="E117" t="s">
        <v>3067</v>
      </c>
      <c r="F117" t="s">
        <v>2799</v>
      </c>
      <c r="G117" t="s">
        <v>3068</v>
      </c>
    </row>
    <row r="118" spans="1:7" ht="11.25" customHeight="1">
      <c r="A118" s="310" t="s">
        <v>16</v>
      </c>
      <c r="B118" t="s">
        <v>3069</v>
      </c>
      <c r="C118" t="s">
        <v>3070</v>
      </c>
      <c r="D118" t="s">
        <v>3071</v>
      </c>
      <c r="E118" t="s">
        <v>3072</v>
      </c>
      <c r="F118" t="s">
        <v>2783</v>
      </c>
      <c r="G118" t="s">
        <v>3073</v>
      </c>
    </row>
    <row r="119" spans="1:7" ht="11.25" customHeight="1">
      <c r="A119" s="310" t="s">
        <v>16</v>
      </c>
      <c r="B119" t="s">
        <v>3069</v>
      </c>
      <c r="C119" t="s">
        <v>3070</v>
      </c>
      <c r="D119" t="s">
        <v>3074</v>
      </c>
      <c r="E119" t="s">
        <v>3075</v>
      </c>
      <c r="F119" t="s">
        <v>2783</v>
      </c>
      <c r="G119" t="s">
        <v>3076</v>
      </c>
    </row>
    <row r="120" spans="1:7" ht="11.25" customHeight="1">
      <c r="A120" s="310" t="s">
        <v>16</v>
      </c>
      <c r="B120" t="s">
        <v>3069</v>
      </c>
      <c r="C120" t="s">
        <v>3070</v>
      </c>
      <c r="D120" t="s">
        <v>3077</v>
      </c>
      <c r="E120" t="s">
        <v>3078</v>
      </c>
      <c r="F120" t="s">
        <v>2783</v>
      </c>
      <c r="G120" t="s">
        <v>3079</v>
      </c>
    </row>
    <row r="121" spans="1:7" ht="11.25" customHeight="1">
      <c r="A121" s="310" t="s">
        <v>16</v>
      </c>
      <c r="B121" t="s">
        <v>3069</v>
      </c>
      <c r="C121" t="s">
        <v>3070</v>
      </c>
      <c r="D121" t="s">
        <v>3080</v>
      </c>
      <c r="E121" t="s">
        <v>3081</v>
      </c>
      <c r="F121" t="s">
        <v>2783</v>
      </c>
      <c r="G121" t="s">
        <v>3082</v>
      </c>
    </row>
    <row r="122" spans="1:7" ht="11.25" customHeight="1">
      <c r="A122" s="310" t="s">
        <v>16</v>
      </c>
      <c r="B122" t="s">
        <v>3069</v>
      </c>
      <c r="C122" t="s">
        <v>3070</v>
      </c>
      <c r="D122" t="s">
        <v>3083</v>
      </c>
      <c r="E122" t="s">
        <v>3084</v>
      </c>
      <c r="F122" t="s">
        <v>2783</v>
      </c>
      <c r="G122" t="s">
        <v>3085</v>
      </c>
    </row>
    <row r="123" spans="1:7" ht="11.25" customHeight="1">
      <c r="A123" s="310" t="s">
        <v>16</v>
      </c>
      <c r="B123" t="s">
        <v>3069</v>
      </c>
      <c r="C123" t="s">
        <v>3070</v>
      </c>
      <c r="D123" t="s">
        <v>3086</v>
      </c>
      <c r="E123" t="s">
        <v>3087</v>
      </c>
      <c r="F123" t="s">
        <v>2783</v>
      </c>
      <c r="G123" t="s">
        <v>3088</v>
      </c>
    </row>
    <row r="124" spans="1:7" ht="11.25" customHeight="1">
      <c r="A124" s="310" t="s">
        <v>16</v>
      </c>
      <c r="B124" t="s">
        <v>3069</v>
      </c>
      <c r="C124" t="s">
        <v>3070</v>
      </c>
      <c r="D124" t="s">
        <v>3069</v>
      </c>
      <c r="E124" t="s">
        <v>3070</v>
      </c>
      <c r="F124" t="s">
        <v>2784</v>
      </c>
      <c r="G124" t="s">
        <v>3089</v>
      </c>
    </row>
    <row r="125" spans="1:7" ht="11.25" customHeight="1">
      <c r="A125" s="310" t="s">
        <v>16</v>
      </c>
      <c r="B125" t="s">
        <v>3069</v>
      </c>
      <c r="C125" t="s">
        <v>3070</v>
      </c>
      <c r="D125" t="s">
        <v>3090</v>
      </c>
      <c r="E125" t="s">
        <v>3091</v>
      </c>
      <c r="F125" t="s">
        <v>2783</v>
      </c>
      <c r="G125" t="s">
        <v>3092</v>
      </c>
    </row>
    <row r="126" spans="1:7" ht="11.25" customHeight="1">
      <c r="A126" s="310" t="s">
        <v>16</v>
      </c>
      <c r="B126" t="s">
        <v>3069</v>
      </c>
      <c r="C126" t="s">
        <v>3070</v>
      </c>
      <c r="D126" t="s">
        <v>3093</v>
      </c>
      <c r="E126" t="s">
        <v>3094</v>
      </c>
      <c r="F126" t="s">
        <v>2799</v>
      </c>
      <c r="G126" t="s">
        <v>3095</v>
      </c>
    </row>
    <row r="127" spans="1:7" ht="11.25" customHeight="1">
      <c r="A127" s="310" t="s">
        <v>16</v>
      </c>
      <c r="B127" t="s">
        <v>3096</v>
      </c>
      <c r="C127" t="s">
        <v>3097</v>
      </c>
      <c r="D127" t="s">
        <v>3098</v>
      </c>
      <c r="E127" t="s">
        <v>3099</v>
      </c>
      <c r="F127" t="s">
        <v>2783</v>
      </c>
      <c r="G127" t="s">
        <v>3100</v>
      </c>
    </row>
    <row r="128" spans="1:7" ht="11.25" customHeight="1">
      <c r="A128" s="310" t="s">
        <v>16</v>
      </c>
      <c r="B128" t="s">
        <v>3096</v>
      </c>
      <c r="C128" t="s">
        <v>3097</v>
      </c>
      <c r="D128" t="s">
        <v>3101</v>
      </c>
      <c r="E128" t="s">
        <v>3102</v>
      </c>
      <c r="F128" t="s">
        <v>2783</v>
      </c>
      <c r="G128" t="s">
        <v>3103</v>
      </c>
    </row>
    <row r="129" spans="1:7" ht="11.25" customHeight="1">
      <c r="A129" s="310" t="s">
        <v>16</v>
      </c>
      <c r="B129" t="s">
        <v>3096</v>
      </c>
      <c r="C129" t="s">
        <v>3097</v>
      </c>
      <c r="D129" t="s">
        <v>3104</v>
      </c>
      <c r="E129" t="s">
        <v>3105</v>
      </c>
      <c r="F129" t="s">
        <v>2783</v>
      </c>
      <c r="G129" t="s">
        <v>3106</v>
      </c>
    </row>
    <row r="130" spans="1:7" ht="11.25" customHeight="1">
      <c r="A130" s="310" t="s">
        <v>16</v>
      </c>
      <c r="B130" t="s">
        <v>3096</v>
      </c>
      <c r="C130" t="s">
        <v>3097</v>
      </c>
      <c r="D130" t="s">
        <v>3107</v>
      </c>
      <c r="E130" t="s">
        <v>3108</v>
      </c>
      <c r="F130" t="s">
        <v>2783</v>
      </c>
      <c r="G130" t="s">
        <v>3109</v>
      </c>
    </row>
    <row r="131" spans="1:7" ht="11.25" customHeight="1">
      <c r="A131" s="310" t="s">
        <v>16</v>
      </c>
      <c r="B131" t="s">
        <v>3096</v>
      </c>
      <c r="C131" t="s">
        <v>3097</v>
      </c>
      <c r="D131" t="s">
        <v>3096</v>
      </c>
      <c r="E131" t="s">
        <v>3097</v>
      </c>
      <c r="F131" t="s">
        <v>2784</v>
      </c>
      <c r="G131" t="s">
        <v>3110</v>
      </c>
    </row>
    <row r="132" spans="1:7" ht="11.25" customHeight="1">
      <c r="A132" s="310" t="s">
        <v>16</v>
      </c>
      <c r="B132" t="s">
        <v>3096</v>
      </c>
      <c r="C132" t="s">
        <v>3097</v>
      </c>
      <c r="D132" t="s">
        <v>3111</v>
      </c>
      <c r="E132" t="s">
        <v>3112</v>
      </c>
      <c r="F132" t="s">
        <v>2783</v>
      </c>
      <c r="G132" t="s">
        <v>3113</v>
      </c>
    </row>
    <row r="133" spans="1:7" ht="11.25" customHeight="1">
      <c r="A133" s="310" t="s">
        <v>16</v>
      </c>
      <c r="B133" t="s">
        <v>3096</v>
      </c>
      <c r="C133" t="s">
        <v>3097</v>
      </c>
      <c r="D133" t="s">
        <v>3114</v>
      </c>
      <c r="E133" t="s">
        <v>3115</v>
      </c>
      <c r="F133" t="s">
        <v>2799</v>
      </c>
      <c r="G133" t="s">
        <v>3116</v>
      </c>
    </row>
    <row r="134" spans="1:7" ht="11.25" customHeight="1">
      <c r="A134" s="310" t="s">
        <v>16</v>
      </c>
      <c r="B134" t="s">
        <v>3117</v>
      </c>
      <c r="C134" t="s">
        <v>3118</v>
      </c>
      <c r="D134" t="s">
        <v>3117</v>
      </c>
      <c r="E134" t="s">
        <v>3118</v>
      </c>
      <c r="F134" t="s">
        <v>3119</v>
      </c>
      <c r="G134" t="s">
        <v>3120</v>
      </c>
    </row>
    <row r="135" spans="1:7" ht="11.25" customHeight="1">
      <c r="A135" s="310" t="s">
        <v>16</v>
      </c>
      <c r="B135" t="s">
        <v>99</v>
      </c>
      <c r="C135" t="s">
        <v>100</v>
      </c>
      <c r="D135" t="s">
        <v>99</v>
      </c>
      <c r="E135" t="s">
        <v>100</v>
      </c>
      <c r="F135" t="s">
        <v>3119</v>
      </c>
      <c r="G135" t="s">
        <v>98</v>
      </c>
    </row>
    <row r="136" spans="1:7" ht="11.25" customHeight="1">
      <c r="A136" s="310" t="s">
        <v>16</v>
      </c>
      <c r="B136" t="s">
        <v>3121</v>
      </c>
      <c r="C136" t="s">
        <v>3122</v>
      </c>
      <c r="D136" t="s">
        <v>3121</v>
      </c>
      <c r="E136" t="s">
        <v>3122</v>
      </c>
      <c r="F136" t="s">
        <v>3119</v>
      </c>
      <c r="G136" t="s">
        <v>3123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3"/>
  <sheetViews>
    <sheetView showGridLines="0" workbookViewId="0"/>
  </sheetViews>
  <sheetFormatPr defaultColWidth="9.140625" defaultRowHeight="11.25" customHeight="1"/>
  <cols>
    <col min="1" max="1" width="13.85546875" style="2314" customWidth="1"/>
    <col min="2" max="2" width="10.42578125" style="2314" customWidth="1"/>
    <col min="3" max="3" width="7.5703125" style="2314" customWidth="1"/>
    <col min="4" max="4" width="13.85546875" style="2314" customWidth="1"/>
    <col min="5" max="5" width="11.5703125" style="2314" customWidth="1"/>
    <col min="6" max="6" width="16.28515625" style="2314" customWidth="1"/>
    <col min="7" max="7" width="16" style="2314" customWidth="1"/>
    <col min="8" max="9" width="16.140625" style="2314" customWidth="1"/>
  </cols>
  <sheetData>
    <row r="1" spans="1:9" ht="11.25" customHeight="1">
      <c r="A1" s="766" t="s">
        <v>3124</v>
      </c>
      <c r="B1" s="766" t="s">
        <v>3125</v>
      </c>
      <c r="C1" s="1078" t="s">
        <v>3126</v>
      </c>
      <c r="D1" s="766" t="s">
        <v>3127</v>
      </c>
      <c r="E1" s="766" t="s">
        <v>3128</v>
      </c>
      <c r="F1" s="1078" t="s">
        <v>3129</v>
      </c>
      <c r="G1" s="1078" t="s">
        <v>3130</v>
      </c>
      <c r="H1" s="1078" t="s">
        <v>3131</v>
      </c>
      <c r="I1" s="1078" t="s">
        <v>3132</v>
      </c>
    </row>
    <row r="2" spans="1:9" ht="11.25" customHeight="1">
      <c r="A2" s="2216" t="s">
        <v>108</v>
      </c>
      <c r="B2" s="2216" t="s">
        <v>989</v>
      </c>
      <c r="C2" s="2216" t="s">
        <v>3133</v>
      </c>
      <c r="D2" s="2216" t="s">
        <v>993</v>
      </c>
      <c r="E2" s="2216" t="s">
        <v>994</v>
      </c>
      <c r="F2" s="2216" t="s">
        <v>995</v>
      </c>
      <c r="G2" s="2216" t="s">
        <v>996</v>
      </c>
      <c r="H2" s="2216" t="s">
        <v>997</v>
      </c>
      <c r="I2" s="2216" t="s">
        <v>998</v>
      </c>
    </row>
    <row r="3" spans="1:9" ht="11.25" customHeight="1">
      <c r="A3" s="2216" t="s">
        <v>109</v>
      </c>
      <c r="B3" s="2216" t="s">
        <v>989</v>
      </c>
      <c r="C3" s="2216" t="s">
        <v>3133</v>
      </c>
      <c r="D3" s="2216" t="s">
        <v>993</v>
      </c>
      <c r="E3" s="2216" t="s">
        <v>994</v>
      </c>
      <c r="F3" s="2216" t="s">
        <v>995</v>
      </c>
      <c r="G3" s="2216" t="s">
        <v>996</v>
      </c>
      <c r="H3" s="2216" t="s">
        <v>997</v>
      </c>
      <c r="I3" s="2216" t="s">
        <v>998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2236" hidden="1" customWidth="1"/>
    <col min="2" max="2" width="9.140625" style="2238" hidden="1" customWidth="1"/>
    <col min="3" max="3" width="3" style="2250" customWidth="1"/>
    <col min="4" max="4" width="5" style="2238" customWidth="1"/>
    <col min="5" max="5" width="48" style="2238" customWidth="1"/>
    <col min="6" max="6" width="38" style="2238" customWidth="1"/>
    <col min="7" max="7" width="1.7109375" style="2238" hidden="1" customWidth="1"/>
    <col min="8" max="11" width="19.85546875" style="2238" hidden="1" customWidth="1"/>
    <col min="12" max="12" width="9.7109375" style="2238" hidden="1" customWidth="1"/>
    <col min="13" max="18" width="19.85546875" style="2238" hidden="1" customWidth="1"/>
    <col min="19" max="19" width="1.7109375" style="2238" hidden="1" customWidth="1"/>
    <col min="20" max="22" width="19.85546875" style="2238" customWidth="1"/>
    <col min="23" max="23" width="1.7109375" style="2238" hidden="1" customWidth="1"/>
    <col min="24" max="26" width="19.85546875" style="2238" hidden="1" customWidth="1"/>
    <col min="27" max="27" width="1.7109375" style="2238" hidden="1" customWidth="1"/>
    <col min="28" max="29" width="19.85546875" style="2238" hidden="1" customWidth="1"/>
    <col min="30" max="30" width="1.7109375" style="2238" hidden="1" customWidth="1"/>
    <col min="31" max="31" width="103.7109375" style="2238" hidden="1" customWidth="1"/>
    <col min="32" max="32" width="103.7109375" style="2238" customWidth="1"/>
    <col min="33" max="34" width="103.7109375" style="2238" hidden="1" customWidth="1"/>
    <col min="35" max="35" width="3" style="2247" customWidth="1"/>
    <col min="36" max="38" width="10" style="2245" customWidth="1"/>
    <col min="39" max="39" width="13.7109375" style="2245" hidden="1" customWidth="1"/>
    <col min="40" max="40" width="15" style="2245" customWidth="1"/>
    <col min="41" max="41" width="16" style="2245" customWidth="1"/>
    <col min="42" max="45" width="10" style="2245" customWidth="1"/>
    <col min="46" max="46" width="10.5703125" style="2238" hidden="1"/>
  </cols>
  <sheetData>
    <row r="1" spans="1:46" ht="22.5" hidden="1" customHeight="1">
      <c r="E1" s="349"/>
      <c r="F1" s="349"/>
      <c r="G1" s="349"/>
      <c r="H1" s="2450" t="s">
        <v>350</v>
      </c>
      <c r="I1" s="2450"/>
      <c r="J1" s="2450"/>
      <c r="K1" s="2450"/>
      <c r="L1" s="2450"/>
      <c r="M1" s="2450"/>
      <c r="N1" s="2450"/>
      <c r="O1" s="2450"/>
      <c r="P1" s="2450"/>
      <c r="Q1" s="2450"/>
      <c r="R1" s="2450"/>
      <c r="T1" s="2450" t="s">
        <v>351</v>
      </c>
      <c r="U1" s="2450"/>
      <c r="V1" s="2450"/>
      <c r="X1" s="2450" t="s">
        <v>352</v>
      </c>
      <c r="Y1" s="2450"/>
      <c r="Z1" s="2450"/>
      <c r="AB1" s="2450" t="s">
        <v>353</v>
      </c>
      <c r="AC1" s="2450"/>
      <c r="AT1" s="384" t="s">
        <v>14</v>
      </c>
    </row>
    <row r="2" spans="1:46" ht="14.25" hidden="1" customHeight="1">
      <c r="AT2" s="384">
        <v>0</v>
      </c>
    </row>
    <row r="3" spans="1:46" s="2268" customFormat="1" ht="5.25" customHeight="1">
      <c r="C3" s="638"/>
      <c r="D3" s="639"/>
      <c r="E3" s="639"/>
      <c r="F3" s="639"/>
      <c r="G3" s="639"/>
      <c r="H3" s="639" t="s">
        <v>354</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393" t="str">
        <f>ORG_VD_NAME_FORM</f>
        <v>Форма 1. Информация об организации, осуществляющей водоотведение (общая информация)</v>
      </c>
      <c r="E4" s="2394"/>
      <c r="F4" s="2394"/>
      <c r="G4" s="2394"/>
      <c r="H4" s="2394"/>
      <c r="I4" s="2394"/>
      <c r="J4" s="2394"/>
      <c r="K4" s="2394"/>
      <c r="L4" s="2394"/>
      <c r="M4" s="2394"/>
      <c r="N4" s="2394"/>
      <c r="O4" s="2394"/>
      <c r="P4" s="2394"/>
      <c r="Q4" s="2394"/>
      <c r="R4" s="2395"/>
      <c r="S4" s="780"/>
      <c r="T4" s="636"/>
      <c r="U4" s="636"/>
      <c r="V4" s="636"/>
      <c r="W4" s="636"/>
      <c r="X4" s="636"/>
      <c r="Y4" s="636"/>
      <c r="Z4" s="636"/>
      <c r="AA4" s="636"/>
      <c r="AB4" s="636"/>
      <c r="AC4" s="636"/>
      <c r="AD4" s="636"/>
      <c r="AE4" s="428"/>
      <c r="AF4" s="428"/>
      <c r="AG4" s="428"/>
      <c r="AH4" s="428"/>
      <c r="AI4" s="425"/>
      <c r="AT4" s="384">
        <v>38</v>
      </c>
    </row>
    <row r="5" spans="1:46" s="2238" customFormat="1" ht="18" customHeight="1">
      <c r="A5" s="694"/>
      <c r="C5" s="753"/>
      <c r="D5" s="2447" t="str">
        <f>IF(org=0,"Не определено",org)</f>
        <v>МУП "Водоканал"</v>
      </c>
      <c r="E5" s="2448"/>
      <c r="F5" s="2448"/>
      <c r="G5" s="2448"/>
      <c r="H5" s="2448"/>
      <c r="I5" s="2448"/>
      <c r="J5" s="2448"/>
      <c r="K5" s="2448"/>
      <c r="L5" s="2448"/>
      <c r="M5" s="2448"/>
      <c r="N5" s="2448"/>
      <c r="O5" s="2448"/>
      <c r="P5" s="2448"/>
      <c r="Q5" s="2448"/>
      <c r="R5" s="2449"/>
      <c r="S5" s="780"/>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2237"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451" t="s">
        <v>298</v>
      </c>
      <c r="E7" s="2452"/>
      <c r="F7" s="2452"/>
      <c r="G7" s="2452"/>
      <c r="H7" s="2452"/>
      <c r="I7" s="2452"/>
      <c r="J7" s="2452"/>
      <c r="K7" s="2452"/>
      <c r="L7" s="2452"/>
      <c r="M7" s="2452"/>
      <c r="N7" s="2452"/>
      <c r="O7" s="2452"/>
      <c r="P7" s="2452"/>
      <c r="Q7" s="2452"/>
      <c r="R7" s="2452"/>
      <c r="S7" s="2452"/>
      <c r="T7" s="2452"/>
      <c r="U7" s="2452"/>
      <c r="V7" s="2452"/>
      <c r="W7" s="2452"/>
      <c r="X7" s="2452"/>
      <c r="Y7" s="2452"/>
      <c r="Z7" s="2452"/>
      <c r="AA7" s="2452"/>
      <c r="AB7" s="2452"/>
      <c r="AC7" s="2452"/>
      <c r="AD7" s="2453"/>
      <c r="AE7" s="2391" t="s">
        <v>299</v>
      </c>
      <c r="AF7" s="2391" t="s">
        <v>299</v>
      </c>
      <c r="AG7" s="2391" t="s">
        <v>299</v>
      </c>
      <c r="AH7" s="2391" t="s">
        <v>299</v>
      </c>
      <c r="AT7" s="384">
        <v>14</v>
      </c>
    </row>
    <row r="8" spans="1:46" ht="27.4" customHeight="1">
      <c r="C8" s="387"/>
      <c r="D8" s="2363" t="s">
        <v>87</v>
      </c>
      <c r="E8" s="2391" t="str">
        <f>"Наименование "&amp;IF(TEMPLATE_SPHERE&lt;&gt;"HEAT","централизованной ","")&amp;"системы "&amp;TEMPLATE_SPHERE_RUS</f>
        <v>Наименование централизованной системы водоотведения</v>
      </c>
      <c r="F8" s="2391" t="str">
        <f>IF(TEMPLATE_SPHERE&lt;&gt;"HEAT","Регулируемый вид деятельности","Вид регулируемой деятельности")</f>
        <v>Регулируемый вид деятельности</v>
      </c>
      <c r="G8" s="759"/>
      <c r="H8" s="2456" t="s">
        <v>355</v>
      </c>
      <c r="I8" s="2458" t="s">
        <v>356</v>
      </c>
      <c r="J8" s="2391" t="s">
        <v>357</v>
      </c>
      <c r="K8" s="2391"/>
      <c r="L8" s="2391"/>
      <c r="M8" s="2451"/>
      <c r="N8" s="2391" t="s">
        <v>358</v>
      </c>
      <c r="O8" s="2391"/>
      <c r="P8" s="2391" t="s">
        <v>359</v>
      </c>
      <c r="Q8" s="2391"/>
      <c r="R8" s="2460" t="s">
        <v>360</v>
      </c>
      <c r="S8" s="755"/>
      <c r="T8" s="2456" t="s">
        <v>361</v>
      </c>
      <c r="U8" s="2456" t="s">
        <v>362</v>
      </c>
      <c r="V8" s="2456" t="s">
        <v>363</v>
      </c>
      <c r="W8" s="757"/>
      <c r="X8" s="2456" t="s">
        <v>364</v>
      </c>
      <c r="Y8" s="2456" t="s">
        <v>365</v>
      </c>
      <c r="Z8" s="2456" t="s">
        <v>366</v>
      </c>
      <c r="AA8" s="757"/>
      <c r="AB8" s="2456" t="s">
        <v>367</v>
      </c>
      <c r="AC8" s="2456" t="s">
        <v>360</v>
      </c>
      <c r="AD8" s="757"/>
      <c r="AE8" s="2391"/>
      <c r="AF8" s="2391"/>
      <c r="AG8" s="2391"/>
      <c r="AH8" s="2391"/>
      <c r="AT8" s="384">
        <v>26</v>
      </c>
    </row>
    <row r="9" spans="1:46" ht="46.15" customHeight="1">
      <c r="C9" s="387"/>
      <c r="D9" s="2363"/>
      <c r="E9" s="2391"/>
      <c r="F9" s="2391"/>
      <c r="G9" s="760"/>
      <c r="H9" s="2457"/>
      <c r="I9" s="2459"/>
      <c r="J9" s="362" t="s">
        <v>368</v>
      </c>
      <c r="K9" s="362" t="s">
        <v>369</v>
      </c>
      <c r="L9" s="362" t="s">
        <v>370</v>
      </c>
      <c r="M9" s="368" t="s">
        <v>371</v>
      </c>
      <c r="N9" s="362" t="s">
        <v>372</v>
      </c>
      <c r="O9" s="362" t="s">
        <v>371</v>
      </c>
      <c r="P9" s="362" t="s">
        <v>373</v>
      </c>
      <c r="Q9" s="362" t="s">
        <v>371</v>
      </c>
      <c r="R9" s="2461"/>
      <c r="S9" s="756"/>
      <c r="T9" s="2457"/>
      <c r="U9" s="2457"/>
      <c r="V9" s="2457"/>
      <c r="W9" s="758"/>
      <c r="X9" s="2457"/>
      <c r="Y9" s="2457"/>
      <c r="Z9" s="2457"/>
      <c r="AA9" s="758"/>
      <c r="AB9" s="2457"/>
      <c r="AC9" s="2457"/>
      <c r="AD9" s="758"/>
      <c r="AE9" s="2391"/>
      <c r="AF9" s="2391"/>
      <c r="AG9" s="2391"/>
      <c r="AH9" s="2391"/>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2269" customFormat="1" ht="11.25" hidden="1" customHeight="1">
      <c r="C11" s="435"/>
      <c r="D11" s="436" t="s">
        <v>374</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108</v>
      </c>
      <c r="E12" s="1695" t="s">
        <v>22</v>
      </c>
      <c r="F12" s="782"/>
      <c r="G12" s="783"/>
      <c r="H12" s="1696"/>
      <c r="I12" s="1696"/>
      <c r="J12" s="370"/>
      <c r="K12" s="1779"/>
      <c r="L12" s="369"/>
      <c r="M12" s="1779"/>
      <c r="N12" s="370"/>
      <c r="O12" s="1779"/>
      <c r="P12" s="370"/>
      <c r="Q12" s="1779"/>
      <c r="R12" s="370"/>
      <c r="S12" s="781"/>
      <c r="T12" s="1696"/>
      <c r="U12" s="370"/>
      <c r="V12" s="370"/>
      <c r="W12" s="758"/>
      <c r="X12" s="1696"/>
      <c r="Y12" s="370"/>
      <c r="Z12" s="370"/>
      <c r="AA12" s="758"/>
      <c r="AB12" s="1696"/>
      <c r="AC12" s="370"/>
      <c r="AD12" s="758"/>
      <c r="AE12" s="2454" t="s">
        <v>375</v>
      </c>
      <c r="AF12" s="2454" t="s">
        <v>376</v>
      </c>
      <c r="AG12" s="2454" t="s">
        <v>377</v>
      </c>
      <c r="AH12" s="2454" t="s">
        <v>378</v>
      </c>
      <c r="AI12" s="384"/>
      <c r="AM12" s="448"/>
      <c r="AP12" s="437" t="s">
        <v>379</v>
      </c>
      <c r="AQ12" s="437" t="s">
        <v>379</v>
      </c>
      <c r="AT12" s="384">
        <v>14</v>
      </c>
    </row>
    <row r="13" spans="1:46" ht="18" customHeight="1">
      <c r="A13" s="384"/>
      <c r="C13" s="387"/>
      <c r="D13" s="342"/>
      <c r="E13" s="796" t="str">
        <f>IF(TITLE_DIFFERENTIATION_TYPE="нет","","Добавить систему")</f>
        <v/>
      </c>
      <c r="F13" s="796"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4"/>
      <c r="AE13" s="2455"/>
      <c r="AF13" s="2455"/>
      <c r="AG13" s="2455"/>
      <c r="AH13" s="2455"/>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81</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315"/>
  </cols>
  <sheetData>
    <row r="1" spans="1:2" ht="11.25" customHeight="1">
      <c r="A1" s="120" t="s">
        <v>130</v>
      </c>
      <c r="B1" s="120" t="s">
        <v>3134</v>
      </c>
    </row>
    <row r="2" spans="1:2" ht="11.25" customHeight="1">
      <c r="A2" s="2233" t="s">
        <v>97</v>
      </c>
      <c r="B2" s="2233" t="s">
        <v>3135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314"/>
    <col min="2" max="2" width="65.28515625" style="2314" customWidth="1"/>
  </cols>
  <sheetData>
    <row r="1" spans="1:2" ht="11.25" customHeight="1">
      <c r="A1" s="766" t="s">
        <v>3136</v>
      </c>
      <c r="B1" s="766" t="s">
        <v>3137</v>
      </c>
    </row>
    <row r="2" spans="1:2" ht="11.25" customHeight="1">
      <c r="A2" s="766">
        <v>4213775</v>
      </c>
      <c r="B2" s="766" t="s">
        <v>1256</v>
      </c>
    </row>
    <row r="3" spans="1:2" ht="11.25" customHeight="1">
      <c r="A3" s="766">
        <v>4213784</v>
      </c>
      <c r="B3" s="766" t="s">
        <v>1291</v>
      </c>
    </row>
    <row r="4" spans="1:2" ht="11.25" customHeight="1">
      <c r="A4" s="766">
        <v>4213781</v>
      </c>
      <c r="B4" s="766" t="s">
        <v>1284</v>
      </c>
    </row>
    <row r="5" spans="1:2" ht="11.25" customHeight="1">
      <c r="A5" s="766">
        <v>4213776</v>
      </c>
      <c r="B5" s="766" t="s">
        <v>166</v>
      </c>
    </row>
    <row r="6" spans="1:2" ht="11.25" customHeight="1">
      <c r="A6" s="766">
        <v>4213777</v>
      </c>
      <c r="B6" s="766" t="s">
        <v>172</v>
      </c>
    </row>
    <row r="7" spans="1:2" ht="11.25" customHeight="1">
      <c r="A7" s="766">
        <v>4213778</v>
      </c>
      <c r="B7" s="766" t="s">
        <v>178</v>
      </c>
    </row>
    <row r="8" spans="1:2" ht="11.25" customHeight="1">
      <c r="A8" s="766">
        <v>4213780</v>
      </c>
      <c r="B8" s="766" t="s">
        <v>184</v>
      </c>
    </row>
    <row r="9" spans="1:2" ht="11.25" customHeight="1">
      <c r="A9" s="766">
        <v>4213779</v>
      </c>
      <c r="B9" s="766" t="s">
        <v>1425</v>
      </c>
    </row>
    <row r="10" spans="1:2" ht="11.25" customHeight="1">
      <c r="A10" s="766">
        <v>4213783</v>
      </c>
      <c r="B10" s="766" t="s">
        <v>1438</v>
      </c>
    </row>
    <row r="11" spans="1:2" ht="11.25" customHeight="1">
      <c r="A11" s="766">
        <v>4213782</v>
      </c>
      <c r="B11" s="766"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2314"/>
    <col min="2" max="2" width="65.28515625" style="2314" customWidth="1"/>
  </cols>
  <sheetData>
    <row r="1" spans="1:2" ht="11.25" customHeight="1">
      <c r="A1" s="766" t="s">
        <v>3136</v>
      </c>
      <c r="B1" s="766" t="s">
        <v>3138</v>
      </c>
    </row>
    <row r="2" spans="1:2" ht="11.25" customHeight="1">
      <c r="A2" s="766" t="s">
        <v>117</v>
      </c>
      <c r="B2" s="766" t="s">
        <v>1533</v>
      </c>
    </row>
    <row r="3" spans="1:2" ht="11.25" customHeight="1">
      <c r="A3" s="766" t="s">
        <v>3139</v>
      </c>
      <c r="B3" s="766" t="s">
        <v>1542</v>
      </c>
    </row>
    <row r="4" spans="1:2" ht="11.25" customHeight="1">
      <c r="A4" s="766" t="s">
        <v>3140</v>
      </c>
      <c r="B4" s="766" t="s">
        <v>1552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36"/>
  <sheetViews>
    <sheetView showGridLines="0" workbookViewId="0"/>
  </sheetViews>
  <sheetFormatPr defaultRowHeight="11.25" customHeight="1"/>
  <sheetData>
    <row r="1" spans="1:7" ht="11.25" customHeight="1">
      <c r="A1" s="310" t="s">
        <v>2772</v>
      </c>
      <c r="B1" s="310" t="s">
        <v>2773</v>
      </c>
      <c r="C1" s="310" t="s">
        <v>2774</v>
      </c>
      <c r="D1" s="310" t="s">
        <v>2775</v>
      </c>
      <c r="E1" t="s">
        <v>2776</v>
      </c>
      <c r="F1" t="s">
        <v>2777</v>
      </c>
      <c r="G1" t="s">
        <v>2778</v>
      </c>
    </row>
    <row r="2" spans="1:7" ht="11.25" customHeight="1">
      <c r="A2" t="s">
        <v>16</v>
      </c>
      <c r="B2" t="s">
        <v>2779</v>
      </c>
      <c r="C2" t="s">
        <v>2780</v>
      </c>
      <c r="D2" t="s">
        <v>2781</v>
      </c>
      <c r="E2" t="s">
        <v>2782</v>
      </c>
      <c r="F2" t="s">
        <v>2783</v>
      </c>
      <c r="G2" t="s">
        <v>108</v>
      </c>
    </row>
    <row r="3" spans="1:7" ht="11.25" customHeight="1">
      <c r="A3" t="s">
        <v>16</v>
      </c>
      <c r="B3" t="s">
        <v>2779</v>
      </c>
      <c r="C3" t="s">
        <v>2780</v>
      </c>
      <c r="D3" t="s">
        <v>2779</v>
      </c>
      <c r="E3" t="s">
        <v>2780</v>
      </c>
      <c r="F3" t="s">
        <v>2784</v>
      </c>
      <c r="G3" t="s">
        <v>109</v>
      </c>
    </row>
    <row r="4" spans="1:7" ht="11.25" customHeight="1">
      <c r="A4" t="s">
        <v>16</v>
      </c>
      <c r="B4" t="s">
        <v>2779</v>
      </c>
      <c r="C4" t="s">
        <v>2780</v>
      </c>
      <c r="D4" t="s">
        <v>2785</v>
      </c>
      <c r="E4" t="s">
        <v>2786</v>
      </c>
      <c r="F4" t="s">
        <v>2783</v>
      </c>
      <c r="G4" t="s">
        <v>89</v>
      </c>
    </row>
    <row r="5" spans="1:7" ht="11.25" customHeight="1">
      <c r="A5" t="s">
        <v>16</v>
      </c>
      <c r="B5" t="s">
        <v>2779</v>
      </c>
      <c r="C5" t="s">
        <v>2780</v>
      </c>
      <c r="D5" t="s">
        <v>2787</v>
      </c>
      <c r="E5" t="s">
        <v>2788</v>
      </c>
      <c r="F5" t="s">
        <v>2783</v>
      </c>
      <c r="G5" t="s">
        <v>90</v>
      </c>
    </row>
    <row r="6" spans="1:7" ht="11.25" customHeight="1">
      <c r="A6" t="s">
        <v>16</v>
      </c>
      <c r="B6" t="s">
        <v>2779</v>
      </c>
      <c r="C6" t="s">
        <v>2780</v>
      </c>
      <c r="D6" t="s">
        <v>2789</v>
      </c>
      <c r="E6" t="s">
        <v>2790</v>
      </c>
      <c r="F6" t="s">
        <v>2783</v>
      </c>
      <c r="G6" t="s">
        <v>110</v>
      </c>
    </row>
    <row r="7" spans="1:7" ht="11.25" customHeight="1">
      <c r="A7" t="s">
        <v>16</v>
      </c>
      <c r="B7" t="s">
        <v>2779</v>
      </c>
      <c r="C7" t="s">
        <v>2780</v>
      </c>
      <c r="D7" t="s">
        <v>2791</v>
      </c>
      <c r="E7" t="s">
        <v>2792</v>
      </c>
      <c r="F7" t="s">
        <v>2783</v>
      </c>
      <c r="G7" t="s">
        <v>91</v>
      </c>
    </row>
    <row r="8" spans="1:7" ht="11.25" customHeight="1">
      <c r="A8" t="s">
        <v>16</v>
      </c>
      <c r="B8" t="s">
        <v>2779</v>
      </c>
      <c r="C8" t="s">
        <v>2780</v>
      </c>
      <c r="D8" t="s">
        <v>2793</v>
      </c>
      <c r="E8" t="s">
        <v>2794</v>
      </c>
      <c r="F8" t="s">
        <v>2783</v>
      </c>
      <c r="G8" t="s">
        <v>92</v>
      </c>
    </row>
    <row r="9" spans="1:7" ht="11.25" customHeight="1">
      <c r="A9" t="s">
        <v>16</v>
      </c>
      <c r="B9" t="s">
        <v>2779</v>
      </c>
      <c r="C9" t="s">
        <v>2780</v>
      </c>
      <c r="D9" t="s">
        <v>2795</v>
      </c>
      <c r="E9" t="s">
        <v>2796</v>
      </c>
      <c r="F9" t="s">
        <v>2783</v>
      </c>
      <c r="G9" t="s">
        <v>111</v>
      </c>
    </row>
    <row r="10" spans="1:7" ht="11.25" customHeight="1">
      <c r="A10" t="s">
        <v>16</v>
      </c>
      <c r="B10" t="s">
        <v>2779</v>
      </c>
      <c r="C10" t="s">
        <v>2780</v>
      </c>
      <c r="D10" t="s">
        <v>2797</v>
      </c>
      <c r="E10" t="s">
        <v>2798</v>
      </c>
      <c r="F10" t="s">
        <v>2799</v>
      </c>
      <c r="G10" t="s">
        <v>148</v>
      </c>
    </row>
    <row r="11" spans="1:7" ht="11.25" customHeight="1">
      <c r="A11" t="s">
        <v>16</v>
      </c>
      <c r="B11" t="s">
        <v>2800</v>
      </c>
      <c r="C11" t="s">
        <v>2801</v>
      </c>
      <c r="D11" t="s">
        <v>2802</v>
      </c>
      <c r="E11" t="s">
        <v>2803</v>
      </c>
      <c r="F11" t="s">
        <v>2783</v>
      </c>
      <c r="G11" t="s">
        <v>149</v>
      </c>
    </row>
    <row r="12" spans="1:7" ht="11.25" customHeight="1">
      <c r="A12" t="s">
        <v>16</v>
      </c>
      <c r="B12" t="s">
        <v>2800</v>
      </c>
      <c r="C12" t="s">
        <v>2801</v>
      </c>
      <c r="D12" t="s">
        <v>2800</v>
      </c>
      <c r="E12" t="s">
        <v>2801</v>
      </c>
      <c r="F12" t="s">
        <v>2784</v>
      </c>
      <c r="G12" t="s">
        <v>150</v>
      </c>
    </row>
    <row r="13" spans="1:7" ht="11.25" customHeight="1">
      <c r="A13" t="s">
        <v>16</v>
      </c>
      <c r="B13" t="s">
        <v>2800</v>
      </c>
      <c r="C13" t="s">
        <v>2801</v>
      </c>
      <c r="D13" t="s">
        <v>2804</v>
      </c>
      <c r="E13" t="s">
        <v>2805</v>
      </c>
      <c r="F13" t="s">
        <v>2783</v>
      </c>
      <c r="G13" t="s">
        <v>151</v>
      </c>
    </row>
    <row r="14" spans="1:7" ht="11.25" customHeight="1">
      <c r="A14" t="s">
        <v>16</v>
      </c>
      <c r="B14" t="s">
        <v>2800</v>
      </c>
      <c r="C14" t="s">
        <v>2801</v>
      </c>
      <c r="D14" t="s">
        <v>2806</v>
      </c>
      <c r="E14" t="s">
        <v>2807</v>
      </c>
      <c r="F14" t="s">
        <v>2783</v>
      </c>
      <c r="G14" t="s">
        <v>152</v>
      </c>
    </row>
    <row r="15" spans="1:7" ht="11.25" customHeight="1">
      <c r="A15" t="s">
        <v>16</v>
      </c>
      <c r="B15" t="s">
        <v>2800</v>
      </c>
      <c r="C15" t="s">
        <v>2801</v>
      </c>
      <c r="D15" t="s">
        <v>2808</v>
      </c>
      <c r="E15" t="s">
        <v>2809</v>
      </c>
      <c r="F15" t="s">
        <v>2783</v>
      </c>
      <c r="G15" t="s">
        <v>153</v>
      </c>
    </row>
    <row r="16" spans="1:7" ht="11.25" customHeight="1">
      <c r="A16" t="s">
        <v>16</v>
      </c>
      <c r="B16" t="s">
        <v>2800</v>
      </c>
      <c r="C16" t="s">
        <v>2801</v>
      </c>
      <c r="D16" t="s">
        <v>2810</v>
      </c>
      <c r="E16" t="s">
        <v>2811</v>
      </c>
      <c r="F16" t="s">
        <v>2783</v>
      </c>
      <c r="G16" t="s">
        <v>1492</v>
      </c>
    </row>
    <row r="17" spans="1:7" ht="11.25" customHeight="1">
      <c r="A17" t="s">
        <v>16</v>
      </c>
      <c r="B17" t="s">
        <v>2800</v>
      </c>
      <c r="C17" t="s">
        <v>2801</v>
      </c>
      <c r="D17" t="s">
        <v>2812</v>
      </c>
      <c r="E17" t="s">
        <v>2813</v>
      </c>
      <c r="F17" t="s">
        <v>2783</v>
      </c>
      <c r="G17" t="s">
        <v>1498</v>
      </c>
    </row>
    <row r="18" spans="1:7" ht="11.25" customHeight="1">
      <c r="A18" t="s">
        <v>16</v>
      </c>
      <c r="B18" t="s">
        <v>2800</v>
      </c>
      <c r="C18" t="s">
        <v>2801</v>
      </c>
      <c r="D18" t="s">
        <v>2814</v>
      </c>
      <c r="E18" t="s">
        <v>2815</v>
      </c>
      <c r="F18" t="s">
        <v>2783</v>
      </c>
      <c r="G18" t="s">
        <v>1510</v>
      </c>
    </row>
    <row r="19" spans="1:7" ht="11.25" customHeight="1">
      <c r="A19" t="s">
        <v>16</v>
      </c>
      <c r="B19" t="s">
        <v>2800</v>
      </c>
      <c r="C19" t="s">
        <v>2801</v>
      </c>
      <c r="D19" t="s">
        <v>2816</v>
      </c>
      <c r="E19" t="s">
        <v>2817</v>
      </c>
      <c r="F19" t="s">
        <v>2783</v>
      </c>
      <c r="G19" t="s">
        <v>1524</v>
      </c>
    </row>
    <row r="20" spans="1:7" ht="11.25" customHeight="1">
      <c r="A20" t="s">
        <v>16</v>
      </c>
      <c r="B20" t="s">
        <v>2800</v>
      </c>
      <c r="C20" t="s">
        <v>2801</v>
      </c>
      <c r="D20" t="s">
        <v>2818</v>
      </c>
      <c r="E20" t="s">
        <v>2819</v>
      </c>
      <c r="F20" t="s">
        <v>2783</v>
      </c>
      <c r="G20" t="s">
        <v>1536</v>
      </c>
    </row>
    <row r="21" spans="1:7" ht="11.25" customHeight="1">
      <c r="A21" t="s">
        <v>16</v>
      </c>
      <c r="B21" t="s">
        <v>2800</v>
      </c>
      <c r="C21" t="s">
        <v>2801</v>
      </c>
      <c r="D21" t="s">
        <v>2820</v>
      </c>
      <c r="E21" t="s">
        <v>2821</v>
      </c>
      <c r="F21" t="s">
        <v>2783</v>
      </c>
      <c r="G21" t="s">
        <v>1545</v>
      </c>
    </row>
    <row r="22" spans="1:7" ht="11.25" customHeight="1">
      <c r="A22" t="s">
        <v>16</v>
      </c>
      <c r="B22" t="s">
        <v>2822</v>
      </c>
      <c r="C22" t="s">
        <v>2823</v>
      </c>
      <c r="D22" t="s">
        <v>2822</v>
      </c>
      <c r="E22" t="s">
        <v>2823</v>
      </c>
      <c r="F22" t="s">
        <v>2784</v>
      </c>
      <c r="G22" t="s">
        <v>1561</v>
      </c>
    </row>
    <row r="23" spans="1:7" ht="11.25" customHeight="1">
      <c r="A23" t="s">
        <v>16</v>
      </c>
      <c r="B23" t="s">
        <v>2822</v>
      </c>
      <c r="C23" t="s">
        <v>2823</v>
      </c>
      <c r="D23" t="s">
        <v>2824</v>
      </c>
      <c r="E23" t="s">
        <v>2825</v>
      </c>
      <c r="F23" t="s">
        <v>2783</v>
      </c>
      <c r="G23" t="s">
        <v>1567</v>
      </c>
    </row>
    <row r="24" spans="1:7" ht="11.25" customHeight="1">
      <c r="A24" t="s">
        <v>16</v>
      </c>
      <c r="B24" t="s">
        <v>2822</v>
      </c>
      <c r="C24" t="s">
        <v>2823</v>
      </c>
      <c r="D24" t="s">
        <v>2826</v>
      </c>
      <c r="E24" t="s">
        <v>2827</v>
      </c>
      <c r="F24" t="s">
        <v>2783</v>
      </c>
      <c r="G24" t="s">
        <v>1575</v>
      </c>
    </row>
    <row r="25" spans="1:7" ht="11.25" customHeight="1">
      <c r="A25" t="s">
        <v>16</v>
      </c>
      <c r="B25" t="s">
        <v>2822</v>
      </c>
      <c r="C25" t="s">
        <v>2823</v>
      </c>
      <c r="D25" t="s">
        <v>2828</v>
      </c>
      <c r="E25" t="s">
        <v>2829</v>
      </c>
      <c r="F25" t="s">
        <v>2783</v>
      </c>
      <c r="G25" t="s">
        <v>1582</v>
      </c>
    </row>
    <row r="26" spans="1:7" ht="11.25" customHeight="1">
      <c r="A26" t="s">
        <v>16</v>
      </c>
      <c r="B26" t="s">
        <v>2822</v>
      </c>
      <c r="C26" t="s">
        <v>2823</v>
      </c>
      <c r="D26" t="s">
        <v>2830</v>
      </c>
      <c r="E26" t="s">
        <v>2831</v>
      </c>
      <c r="F26" t="s">
        <v>2783</v>
      </c>
      <c r="G26" t="s">
        <v>1586</v>
      </c>
    </row>
    <row r="27" spans="1:7" ht="11.25" customHeight="1">
      <c r="A27" t="s">
        <v>16</v>
      </c>
      <c r="B27" t="s">
        <v>2822</v>
      </c>
      <c r="C27" t="s">
        <v>2823</v>
      </c>
      <c r="D27" t="s">
        <v>2832</v>
      </c>
      <c r="E27" t="s">
        <v>2833</v>
      </c>
      <c r="F27" t="s">
        <v>2783</v>
      </c>
      <c r="G27" t="s">
        <v>1591</v>
      </c>
    </row>
    <row r="28" spans="1:7" ht="11.25" customHeight="1">
      <c r="A28" t="s">
        <v>16</v>
      </c>
      <c r="B28" t="s">
        <v>2822</v>
      </c>
      <c r="C28" t="s">
        <v>2823</v>
      </c>
      <c r="D28" t="s">
        <v>2834</v>
      </c>
      <c r="E28" t="s">
        <v>2835</v>
      </c>
      <c r="F28" t="s">
        <v>2783</v>
      </c>
      <c r="G28" t="s">
        <v>1599</v>
      </c>
    </row>
    <row r="29" spans="1:7" ht="11.25" customHeight="1">
      <c r="A29" t="s">
        <v>16</v>
      </c>
      <c r="B29" t="s">
        <v>2822</v>
      </c>
      <c r="C29" t="s">
        <v>2823</v>
      </c>
      <c r="D29" t="s">
        <v>2836</v>
      </c>
      <c r="E29" t="s">
        <v>2837</v>
      </c>
      <c r="F29" t="s">
        <v>2783</v>
      </c>
      <c r="G29" t="s">
        <v>1601</v>
      </c>
    </row>
    <row r="30" spans="1:7" ht="11.25" customHeight="1">
      <c r="A30" t="s">
        <v>16</v>
      </c>
      <c r="B30" t="s">
        <v>2822</v>
      </c>
      <c r="C30" t="s">
        <v>2823</v>
      </c>
      <c r="D30" t="s">
        <v>2838</v>
      </c>
      <c r="E30" t="s">
        <v>2839</v>
      </c>
      <c r="F30" t="s">
        <v>2840</v>
      </c>
      <c r="G30" t="s">
        <v>1604</v>
      </c>
    </row>
    <row r="31" spans="1:7" ht="11.25" customHeight="1">
      <c r="A31" t="s">
        <v>16</v>
      </c>
      <c r="B31" t="s">
        <v>2822</v>
      </c>
      <c r="C31" t="s">
        <v>2823</v>
      </c>
      <c r="D31" t="s">
        <v>2841</v>
      </c>
      <c r="E31" t="s">
        <v>2842</v>
      </c>
      <c r="F31" t="s">
        <v>2799</v>
      </c>
      <c r="G31" t="s">
        <v>1610</v>
      </c>
    </row>
    <row r="32" spans="1:7" ht="11.25" customHeight="1">
      <c r="A32" t="s">
        <v>16</v>
      </c>
      <c r="B32" t="s">
        <v>2822</v>
      </c>
      <c r="C32" t="s">
        <v>2823</v>
      </c>
      <c r="D32" t="s">
        <v>2843</v>
      </c>
      <c r="E32" t="s">
        <v>2844</v>
      </c>
      <c r="F32" t="s">
        <v>2799</v>
      </c>
      <c r="G32" t="s">
        <v>1612</v>
      </c>
    </row>
    <row r="33" spans="1:7" ht="11.25" customHeight="1">
      <c r="A33" t="s">
        <v>16</v>
      </c>
      <c r="B33" t="s">
        <v>2845</v>
      </c>
      <c r="C33" t="s">
        <v>2846</v>
      </c>
      <c r="D33" t="s">
        <v>2847</v>
      </c>
      <c r="E33" t="s">
        <v>2848</v>
      </c>
      <c r="F33" t="s">
        <v>2783</v>
      </c>
      <c r="G33" t="s">
        <v>1614</v>
      </c>
    </row>
    <row r="34" spans="1:7" ht="11.25" customHeight="1">
      <c r="A34" t="s">
        <v>16</v>
      </c>
      <c r="B34" t="s">
        <v>2845</v>
      </c>
      <c r="C34" t="s">
        <v>2846</v>
      </c>
      <c r="D34" t="s">
        <v>2849</v>
      </c>
      <c r="E34" t="s">
        <v>2850</v>
      </c>
      <c r="F34" t="s">
        <v>2783</v>
      </c>
      <c r="G34" t="s">
        <v>1616</v>
      </c>
    </row>
    <row r="35" spans="1:7" ht="11.25" customHeight="1">
      <c r="A35" t="s">
        <v>16</v>
      </c>
      <c r="B35" t="s">
        <v>2845</v>
      </c>
      <c r="C35" t="s">
        <v>2846</v>
      </c>
      <c r="D35" t="s">
        <v>2845</v>
      </c>
      <c r="E35" t="s">
        <v>2846</v>
      </c>
      <c r="F35" t="s">
        <v>2784</v>
      </c>
      <c r="G35" t="s">
        <v>1621</v>
      </c>
    </row>
    <row r="36" spans="1:7" ht="11.25" customHeight="1">
      <c r="A36" t="s">
        <v>16</v>
      </c>
      <c r="B36" t="s">
        <v>2845</v>
      </c>
      <c r="C36" t="s">
        <v>2846</v>
      </c>
      <c r="D36" t="s">
        <v>2851</v>
      </c>
      <c r="E36" t="s">
        <v>2852</v>
      </c>
      <c r="F36" t="s">
        <v>2783</v>
      </c>
      <c r="G36" t="s">
        <v>1626</v>
      </c>
    </row>
    <row r="37" spans="1:7" ht="11.25" customHeight="1">
      <c r="A37" t="s">
        <v>16</v>
      </c>
      <c r="B37" t="s">
        <v>2845</v>
      </c>
      <c r="C37" t="s">
        <v>2846</v>
      </c>
      <c r="D37" t="s">
        <v>2853</v>
      </c>
      <c r="E37" t="s">
        <v>2854</v>
      </c>
      <c r="F37" t="s">
        <v>2783</v>
      </c>
      <c r="G37" t="s">
        <v>1630</v>
      </c>
    </row>
    <row r="38" spans="1:7" ht="11.25" customHeight="1">
      <c r="A38" t="s">
        <v>16</v>
      </c>
      <c r="B38" t="s">
        <v>2845</v>
      </c>
      <c r="C38" t="s">
        <v>2846</v>
      </c>
      <c r="D38" t="s">
        <v>2855</v>
      </c>
      <c r="E38" t="s">
        <v>2856</v>
      </c>
      <c r="F38" t="s">
        <v>2783</v>
      </c>
      <c r="G38" t="s">
        <v>1638</v>
      </c>
    </row>
    <row r="39" spans="1:7" ht="11.25" customHeight="1">
      <c r="A39" t="s">
        <v>16</v>
      </c>
      <c r="B39" t="s">
        <v>2845</v>
      </c>
      <c r="C39" t="s">
        <v>2846</v>
      </c>
      <c r="D39" t="s">
        <v>2857</v>
      </c>
      <c r="E39" t="s">
        <v>2858</v>
      </c>
      <c r="F39" t="s">
        <v>2799</v>
      </c>
      <c r="G39" t="s">
        <v>1644</v>
      </c>
    </row>
    <row r="40" spans="1:7" ht="11.25" customHeight="1">
      <c r="A40" t="s">
        <v>16</v>
      </c>
      <c r="B40" t="s">
        <v>2859</v>
      </c>
      <c r="C40" t="s">
        <v>2860</v>
      </c>
      <c r="D40" t="s">
        <v>2861</v>
      </c>
      <c r="E40" t="s">
        <v>2862</v>
      </c>
      <c r="F40" t="s">
        <v>2783</v>
      </c>
      <c r="G40" t="s">
        <v>1649</v>
      </c>
    </row>
    <row r="41" spans="1:7" ht="11.25" customHeight="1">
      <c r="A41" t="s">
        <v>16</v>
      </c>
      <c r="B41" t="s">
        <v>2859</v>
      </c>
      <c r="C41" t="s">
        <v>2860</v>
      </c>
      <c r="D41" t="s">
        <v>2859</v>
      </c>
      <c r="E41" t="s">
        <v>2860</v>
      </c>
      <c r="F41" t="s">
        <v>2784</v>
      </c>
      <c r="G41" t="s">
        <v>1653</v>
      </c>
    </row>
    <row r="42" spans="1:7" ht="11.25" customHeight="1">
      <c r="A42" t="s">
        <v>16</v>
      </c>
      <c r="B42" t="s">
        <v>2859</v>
      </c>
      <c r="C42" t="s">
        <v>2860</v>
      </c>
      <c r="D42" t="s">
        <v>2863</v>
      </c>
      <c r="E42" t="s">
        <v>2864</v>
      </c>
      <c r="F42" t="s">
        <v>2783</v>
      </c>
      <c r="G42" t="s">
        <v>1656</v>
      </c>
    </row>
    <row r="43" spans="1:7" ht="11.25" customHeight="1">
      <c r="A43" t="s">
        <v>16</v>
      </c>
      <c r="B43" t="s">
        <v>2859</v>
      </c>
      <c r="C43" t="s">
        <v>2860</v>
      </c>
      <c r="D43" t="s">
        <v>2865</v>
      </c>
      <c r="E43" t="s">
        <v>2866</v>
      </c>
      <c r="F43" t="s">
        <v>2783</v>
      </c>
      <c r="G43" t="s">
        <v>1663</v>
      </c>
    </row>
    <row r="44" spans="1:7" ht="11.25" customHeight="1">
      <c r="A44" t="s">
        <v>16</v>
      </c>
      <c r="B44" t="s">
        <v>2859</v>
      </c>
      <c r="C44" t="s">
        <v>2860</v>
      </c>
      <c r="D44" t="s">
        <v>2867</v>
      </c>
      <c r="E44" t="s">
        <v>2868</v>
      </c>
      <c r="F44" t="s">
        <v>2783</v>
      </c>
      <c r="G44" t="s">
        <v>1672</v>
      </c>
    </row>
    <row r="45" spans="1:7" ht="11.25" customHeight="1">
      <c r="A45" t="s">
        <v>16</v>
      </c>
      <c r="B45" t="s">
        <v>2859</v>
      </c>
      <c r="C45" t="s">
        <v>2860</v>
      </c>
      <c r="D45" t="s">
        <v>2869</v>
      </c>
      <c r="E45" t="s">
        <v>2870</v>
      </c>
      <c r="F45" t="s">
        <v>2783</v>
      </c>
      <c r="G45" t="s">
        <v>1677</v>
      </c>
    </row>
    <row r="46" spans="1:7" ht="11.25" customHeight="1">
      <c r="A46" t="s">
        <v>16</v>
      </c>
      <c r="B46" t="s">
        <v>2859</v>
      </c>
      <c r="C46" t="s">
        <v>2860</v>
      </c>
      <c r="D46" t="s">
        <v>2871</v>
      </c>
      <c r="E46" t="s">
        <v>2872</v>
      </c>
      <c r="F46" t="s">
        <v>2783</v>
      </c>
      <c r="G46" t="s">
        <v>1681</v>
      </c>
    </row>
    <row r="47" spans="1:7" ht="11.25" customHeight="1">
      <c r="A47" t="s">
        <v>16</v>
      </c>
      <c r="B47" t="s">
        <v>2859</v>
      </c>
      <c r="C47" t="s">
        <v>2860</v>
      </c>
      <c r="D47" t="s">
        <v>2873</v>
      </c>
      <c r="E47" t="s">
        <v>2874</v>
      </c>
      <c r="F47" t="s">
        <v>2783</v>
      </c>
      <c r="G47" t="s">
        <v>1686</v>
      </c>
    </row>
    <row r="48" spans="1:7" ht="11.25" customHeight="1">
      <c r="A48" t="s">
        <v>16</v>
      </c>
      <c r="B48" t="s">
        <v>2859</v>
      </c>
      <c r="C48" t="s">
        <v>2860</v>
      </c>
      <c r="D48" t="s">
        <v>2875</v>
      </c>
      <c r="E48" t="s">
        <v>2876</v>
      </c>
      <c r="F48" t="s">
        <v>2783</v>
      </c>
      <c r="G48" t="s">
        <v>1691</v>
      </c>
    </row>
    <row r="49" spans="1:7" ht="11.25" customHeight="1">
      <c r="A49" t="s">
        <v>16</v>
      </c>
      <c r="B49" t="s">
        <v>2859</v>
      </c>
      <c r="C49" t="s">
        <v>2860</v>
      </c>
      <c r="D49" t="s">
        <v>2877</v>
      </c>
      <c r="E49" t="s">
        <v>2878</v>
      </c>
      <c r="F49" t="s">
        <v>2799</v>
      </c>
      <c r="G49" t="s">
        <v>1694</v>
      </c>
    </row>
    <row r="50" spans="1:7" ht="11.25" customHeight="1">
      <c r="A50" t="s">
        <v>16</v>
      </c>
      <c r="B50" t="s">
        <v>2879</v>
      </c>
      <c r="C50" t="s">
        <v>2880</v>
      </c>
      <c r="D50" t="s">
        <v>2881</v>
      </c>
      <c r="E50" t="s">
        <v>2882</v>
      </c>
      <c r="F50" t="s">
        <v>2783</v>
      </c>
      <c r="G50" t="s">
        <v>1698</v>
      </c>
    </row>
    <row r="51" spans="1:7" ht="11.25" customHeight="1">
      <c r="A51" t="s">
        <v>16</v>
      </c>
      <c r="B51" t="s">
        <v>2879</v>
      </c>
      <c r="C51" t="s">
        <v>2880</v>
      </c>
      <c r="D51" t="s">
        <v>2883</v>
      </c>
      <c r="E51" t="s">
        <v>2884</v>
      </c>
      <c r="F51" t="s">
        <v>2783</v>
      </c>
      <c r="G51" t="s">
        <v>1703</v>
      </c>
    </row>
    <row r="52" spans="1:7" ht="11.25" customHeight="1">
      <c r="A52" t="s">
        <v>16</v>
      </c>
      <c r="B52" t="s">
        <v>2879</v>
      </c>
      <c r="C52" t="s">
        <v>2880</v>
      </c>
      <c r="D52" t="s">
        <v>2885</v>
      </c>
      <c r="E52" t="s">
        <v>2886</v>
      </c>
      <c r="F52" t="s">
        <v>2783</v>
      </c>
      <c r="G52" t="s">
        <v>1707</v>
      </c>
    </row>
    <row r="53" spans="1:7" ht="11.25" customHeight="1">
      <c r="A53" t="s">
        <v>16</v>
      </c>
      <c r="B53" t="s">
        <v>2879</v>
      </c>
      <c r="C53" t="s">
        <v>2880</v>
      </c>
      <c r="D53" t="s">
        <v>2879</v>
      </c>
      <c r="E53" t="s">
        <v>2880</v>
      </c>
      <c r="F53" t="s">
        <v>2784</v>
      </c>
      <c r="G53" t="s">
        <v>1709</v>
      </c>
    </row>
    <row r="54" spans="1:7" ht="11.25" customHeight="1">
      <c r="A54" t="s">
        <v>16</v>
      </c>
      <c r="B54" t="s">
        <v>2879</v>
      </c>
      <c r="C54" t="s">
        <v>2880</v>
      </c>
      <c r="D54" t="s">
        <v>2887</v>
      </c>
      <c r="E54" t="s">
        <v>2888</v>
      </c>
      <c r="F54" t="s">
        <v>2783</v>
      </c>
      <c r="G54" t="s">
        <v>1712</v>
      </c>
    </row>
    <row r="55" spans="1:7" ht="11.25" customHeight="1">
      <c r="A55" t="s">
        <v>16</v>
      </c>
      <c r="B55" t="s">
        <v>2879</v>
      </c>
      <c r="C55" t="s">
        <v>2880</v>
      </c>
      <c r="D55" t="s">
        <v>2889</v>
      </c>
      <c r="E55" t="s">
        <v>2890</v>
      </c>
      <c r="F55" t="s">
        <v>2783</v>
      </c>
      <c r="G55" t="s">
        <v>1716</v>
      </c>
    </row>
    <row r="56" spans="1:7" ht="11.25" customHeight="1">
      <c r="A56" t="s">
        <v>16</v>
      </c>
      <c r="B56" t="s">
        <v>2879</v>
      </c>
      <c r="C56" t="s">
        <v>2880</v>
      </c>
      <c r="D56" t="s">
        <v>2891</v>
      </c>
      <c r="E56" t="s">
        <v>2892</v>
      </c>
      <c r="F56" t="s">
        <v>2799</v>
      </c>
      <c r="G56" t="s">
        <v>1719</v>
      </c>
    </row>
    <row r="57" spans="1:7" ht="11.25" customHeight="1">
      <c r="A57" t="s">
        <v>16</v>
      </c>
      <c r="B57" t="s">
        <v>2893</v>
      </c>
      <c r="C57" t="s">
        <v>2894</v>
      </c>
      <c r="D57" t="s">
        <v>2895</v>
      </c>
      <c r="E57" t="s">
        <v>2896</v>
      </c>
      <c r="F57" t="s">
        <v>2783</v>
      </c>
      <c r="G57" t="s">
        <v>1722</v>
      </c>
    </row>
    <row r="58" spans="1:7" ht="11.25" customHeight="1">
      <c r="A58" t="s">
        <v>16</v>
      </c>
      <c r="B58" t="s">
        <v>2893</v>
      </c>
      <c r="C58" t="s">
        <v>2894</v>
      </c>
      <c r="D58" t="s">
        <v>2897</v>
      </c>
      <c r="E58" t="s">
        <v>2898</v>
      </c>
      <c r="F58" t="s">
        <v>2783</v>
      </c>
      <c r="G58" t="s">
        <v>1725</v>
      </c>
    </row>
    <row r="59" spans="1:7" ht="11.25" customHeight="1">
      <c r="A59" t="s">
        <v>16</v>
      </c>
      <c r="B59" t="s">
        <v>2893</v>
      </c>
      <c r="C59" t="s">
        <v>2894</v>
      </c>
      <c r="D59" t="s">
        <v>2899</v>
      </c>
      <c r="E59" t="s">
        <v>2900</v>
      </c>
      <c r="F59" t="s">
        <v>2783</v>
      </c>
      <c r="G59" t="s">
        <v>1729</v>
      </c>
    </row>
    <row r="60" spans="1:7" ht="11.25" customHeight="1">
      <c r="A60" t="s">
        <v>16</v>
      </c>
      <c r="B60" t="s">
        <v>2893</v>
      </c>
      <c r="C60" t="s">
        <v>2894</v>
      </c>
      <c r="D60" t="s">
        <v>2901</v>
      </c>
      <c r="E60" t="s">
        <v>2902</v>
      </c>
      <c r="F60" t="s">
        <v>2783</v>
      </c>
      <c r="G60" t="s">
        <v>1731</v>
      </c>
    </row>
    <row r="61" spans="1:7" ht="11.25" customHeight="1">
      <c r="A61" t="s">
        <v>16</v>
      </c>
      <c r="B61" t="s">
        <v>2893</v>
      </c>
      <c r="C61" t="s">
        <v>2894</v>
      </c>
      <c r="D61" t="s">
        <v>2810</v>
      </c>
      <c r="E61" t="s">
        <v>2903</v>
      </c>
      <c r="F61" t="s">
        <v>2783</v>
      </c>
      <c r="G61" t="s">
        <v>2904</v>
      </c>
    </row>
    <row r="62" spans="1:7" ht="11.25" customHeight="1">
      <c r="A62" t="s">
        <v>16</v>
      </c>
      <c r="B62" t="s">
        <v>2893</v>
      </c>
      <c r="C62" t="s">
        <v>2894</v>
      </c>
      <c r="D62" t="s">
        <v>2905</v>
      </c>
      <c r="E62" t="s">
        <v>2906</v>
      </c>
      <c r="F62" t="s">
        <v>2783</v>
      </c>
      <c r="G62" t="s">
        <v>2907</v>
      </c>
    </row>
    <row r="63" spans="1:7" ht="11.25" customHeight="1">
      <c r="A63" t="s">
        <v>16</v>
      </c>
      <c r="B63" t="s">
        <v>2893</v>
      </c>
      <c r="C63" t="s">
        <v>2894</v>
      </c>
      <c r="D63" t="s">
        <v>2908</v>
      </c>
      <c r="E63" t="s">
        <v>2909</v>
      </c>
      <c r="F63" t="s">
        <v>2783</v>
      </c>
      <c r="G63" t="s">
        <v>2910</v>
      </c>
    </row>
    <row r="64" spans="1:7" ht="11.25" customHeight="1">
      <c r="A64" t="s">
        <v>16</v>
      </c>
      <c r="B64" t="s">
        <v>2893</v>
      </c>
      <c r="C64" t="s">
        <v>2894</v>
      </c>
      <c r="D64" t="s">
        <v>2911</v>
      </c>
      <c r="E64" t="s">
        <v>2912</v>
      </c>
      <c r="F64" t="s">
        <v>2783</v>
      </c>
      <c r="G64" t="s">
        <v>2913</v>
      </c>
    </row>
    <row r="65" spans="1:7" ht="11.25" customHeight="1">
      <c r="A65" t="s">
        <v>16</v>
      </c>
      <c r="B65" t="s">
        <v>2893</v>
      </c>
      <c r="C65" t="s">
        <v>2894</v>
      </c>
      <c r="D65" t="s">
        <v>2893</v>
      </c>
      <c r="E65" t="s">
        <v>2894</v>
      </c>
      <c r="F65" t="s">
        <v>2784</v>
      </c>
      <c r="G65" t="s">
        <v>2914</v>
      </c>
    </row>
    <row r="66" spans="1:7" ht="11.25" customHeight="1">
      <c r="A66" t="s">
        <v>16</v>
      </c>
      <c r="B66" t="s">
        <v>2893</v>
      </c>
      <c r="C66" t="s">
        <v>2894</v>
      </c>
      <c r="D66" t="s">
        <v>2915</v>
      </c>
      <c r="E66" t="s">
        <v>2916</v>
      </c>
      <c r="F66" t="s">
        <v>2783</v>
      </c>
      <c r="G66" t="s">
        <v>2917</v>
      </c>
    </row>
    <row r="67" spans="1:7" ht="11.25" customHeight="1">
      <c r="A67" t="s">
        <v>16</v>
      </c>
      <c r="B67" t="s">
        <v>2893</v>
      </c>
      <c r="C67" t="s">
        <v>2894</v>
      </c>
      <c r="D67" t="s">
        <v>2918</v>
      </c>
      <c r="E67" t="s">
        <v>2919</v>
      </c>
      <c r="F67" t="s">
        <v>2783</v>
      </c>
      <c r="G67" t="s">
        <v>2044</v>
      </c>
    </row>
    <row r="68" spans="1:7" ht="11.25" customHeight="1">
      <c r="A68" t="s">
        <v>16</v>
      </c>
      <c r="B68" t="s">
        <v>2893</v>
      </c>
      <c r="C68" t="s">
        <v>2894</v>
      </c>
      <c r="D68" t="s">
        <v>2920</v>
      </c>
      <c r="E68" t="s">
        <v>2921</v>
      </c>
      <c r="F68" t="s">
        <v>2783</v>
      </c>
      <c r="G68" t="s">
        <v>2922</v>
      </c>
    </row>
    <row r="69" spans="1:7" ht="11.25" customHeight="1">
      <c r="A69" t="s">
        <v>16</v>
      </c>
      <c r="B69" t="s">
        <v>2893</v>
      </c>
      <c r="C69" t="s">
        <v>2894</v>
      </c>
      <c r="D69" t="s">
        <v>2923</v>
      </c>
      <c r="E69" t="s">
        <v>2924</v>
      </c>
      <c r="F69" t="s">
        <v>2783</v>
      </c>
      <c r="G69" t="s">
        <v>2247</v>
      </c>
    </row>
    <row r="70" spans="1:7" ht="11.25" customHeight="1">
      <c r="A70" t="s">
        <v>16</v>
      </c>
      <c r="B70" t="s">
        <v>2893</v>
      </c>
      <c r="C70" t="s">
        <v>2894</v>
      </c>
      <c r="D70" t="s">
        <v>2925</v>
      </c>
      <c r="E70" t="s">
        <v>2926</v>
      </c>
      <c r="F70" t="s">
        <v>2783</v>
      </c>
      <c r="G70" t="s">
        <v>2927</v>
      </c>
    </row>
    <row r="71" spans="1:7" ht="11.25" customHeight="1">
      <c r="A71" t="s">
        <v>16</v>
      </c>
      <c r="B71" t="s">
        <v>2893</v>
      </c>
      <c r="C71" t="s">
        <v>2894</v>
      </c>
      <c r="D71" t="s">
        <v>2928</v>
      </c>
      <c r="E71" t="s">
        <v>2929</v>
      </c>
      <c r="F71" t="s">
        <v>2783</v>
      </c>
      <c r="G71" t="s">
        <v>2930</v>
      </c>
    </row>
    <row r="72" spans="1:7" ht="11.25" customHeight="1">
      <c r="A72" t="s">
        <v>16</v>
      </c>
      <c r="B72" t="s">
        <v>2893</v>
      </c>
      <c r="C72" t="s">
        <v>2894</v>
      </c>
      <c r="D72" t="s">
        <v>2931</v>
      </c>
      <c r="E72" t="s">
        <v>2932</v>
      </c>
      <c r="F72" t="s">
        <v>2783</v>
      </c>
      <c r="G72" t="s">
        <v>2933</v>
      </c>
    </row>
    <row r="73" spans="1:7" ht="11.25" customHeight="1">
      <c r="A73" t="s">
        <v>16</v>
      </c>
      <c r="B73" t="s">
        <v>2893</v>
      </c>
      <c r="C73" t="s">
        <v>2894</v>
      </c>
      <c r="D73" t="s">
        <v>2934</v>
      </c>
      <c r="E73" t="s">
        <v>2935</v>
      </c>
      <c r="F73" t="s">
        <v>2783</v>
      </c>
      <c r="G73" t="s">
        <v>2936</v>
      </c>
    </row>
    <row r="74" spans="1:7" ht="11.25" customHeight="1">
      <c r="A74" t="s">
        <v>16</v>
      </c>
      <c r="B74" t="s">
        <v>2893</v>
      </c>
      <c r="C74" t="s">
        <v>2894</v>
      </c>
      <c r="D74" t="s">
        <v>2937</v>
      </c>
      <c r="E74" t="s">
        <v>2938</v>
      </c>
      <c r="F74" t="s">
        <v>2799</v>
      </c>
      <c r="G74" t="s">
        <v>2939</v>
      </c>
    </row>
    <row r="75" spans="1:7" ht="11.25" customHeight="1">
      <c r="A75" t="s">
        <v>16</v>
      </c>
      <c r="B75" t="s">
        <v>2893</v>
      </c>
      <c r="C75" t="s">
        <v>2894</v>
      </c>
      <c r="D75" t="s">
        <v>2940</v>
      </c>
      <c r="E75" t="s">
        <v>2941</v>
      </c>
      <c r="F75" t="s">
        <v>2799</v>
      </c>
      <c r="G75" t="s">
        <v>2942</v>
      </c>
    </row>
    <row r="76" spans="1:7" ht="11.25" customHeight="1">
      <c r="A76" t="s">
        <v>16</v>
      </c>
      <c r="B76" t="s">
        <v>2943</v>
      </c>
      <c r="C76" t="s">
        <v>2944</v>
      </c>
      <c r="D76" t="s">
        <v>2945</v>
      </c>
      <c r="E76" t="s">
        <v>2946</v>
      </c>
      <c r="F76" t="s">
        <v>2783</v>
      </c>
      <c r="G76" t="s">
        <v>2947</v>
      </c>
    </row>
    <row r="77" spans="1:7" ht="11.25" customHeight="1">
      <c r="A77" t="s">
        <v>16</v>
      </c>
      <c r="B77" t="s">
        <v>2943</v>
      </c>
      <c r="C77" t="s">
        <v>2944</v>
      </c>
      <c r="D77" t="s">
        <v>2948</v>
      </c>
      <c r="E77" t="s">
        <v>2949</v>
      </c>
      <c r="F77" t="s">
        <v>2783</v>
      </c>
      <c r="G77" t="s">
        <v>2950</v>
      </c>
    </row>
    <row r="78" spans="1:7" ht="11.25" customHeight="1">
      <c r="A78" t="s">
        <v>16</v>
      </c>
      <c r="B78" t="s">
        <v>2943</v>
      </c>
      <c r="C78" t="s">
        <v>2944</v>
      </c>
      <c r="D78" t="s">
        <v>2951</v>
      </c>
      <c r="E78" t="s">
        <v>2952</v>
      </c>
      <c r="F78" t="s">
        <v>2783</v>
      </c>
      <c r="G78" t="s">
        <v>2953</v>
      </c>
    </row>
    <row r="79" spans="1:7" ht="11.25" customHeight="1">
      <c r="A79" t="s">
        <v>16</v>
      </c>
      <c r="B79" t="s">
        <v>2943</v>
      </c>
      <c r="C79" t="s">
        <v>2944</v>
      </c>
      <c r="D79" t="s">
        <v>2943</v>
      </c>
      <c r="E79" t="s">
        <v>2944</v>
      </c>
      <c r="F79" t="s">
        <v>2784</v>
      </c>
      <c r="G79" t="s">
        <v>2954</v>
      </c>
    </row>
    <row r="80" spans="1:7" ht="11.25" customHeight="1">
      <c r="A80" t="s">
        <v>16</v>
      </c>
      <c r="B80" t="s">
        <v>2943</v>
      </c>
      <c r="C80" t="s">
        <v>2944</v>
      </c>
      <c r="D80" t="s">
        <v>2955</v>
      </c>
      <c r="E80" t="s">
        <v>2956</v>
      </c>
      <c r="F80" t="s">
        <v>2783</v>
      </c>
      <c r="G80" t="s">
        <v>2957</v>
      </c>
    </row>
    <row r="81" spans="1:7" ht="11.25" customHeight="1">
      <c r="A81" t="s">
        <v>16</v>
      </c>
      <c r="B81" t="s">
        <v>2943</v>
      </c>
      <c r="C81" t="s">
        <v>2944</v>
      </c>
      <c r="D81" t="s">
        <v>2958</v>
      </c>
      <c r="E81" t="s">
        <v>2959</v>
      </c>
      <c r="F81" t="s">
        <v>2783</v>
      </c>
      <c r="G81" t="s">
        <v>2960</v>
      </c>
    </row>
    <row r="82" spans="1:7" ht="11.25" customHeight="1">
      <c r="A82" t="s">
        <v>16</v>
      </c>
      <c r="B82" t="s">
        <v>2943</v>
      </c>
      <c r="C82" t="s">
        <v>2944</v>
      </c>
      <c r="D82" t="s">
        <v>2961</v>
      </c>
      <c r="E82" t="s">
        <v>2962</v>
      </c>
      <c r="F82" t="s">
        <v>2783</v>
      </c>
      <c r="G82" t="s">
        <v>2963</v>
      </c>
    </row>
    <row r="83" spans="1:7" ht="11.25" customHeight="1">
      <c r="A83" t="s">
        <v>16</v>
      </c>
      <c r="B83" t="s">
        <v>2943</v>
      </c>
      <c r="C83" t="s">
        <v>2944</v>
      </c>
      <c r="D83" t="s">
        <v>2964</v>
      </c>
      <c r="E83" t="s">
        <v>2965</v>
      </c>
      <c r="F83" t="s">
        <v>2783</v>
      </c>
      <c r="G83" t="s">
        <v>2966</v>
      </c>
    </row>
    <row r="84" spans="1:7" ht="11.25" customHeight="1">
      <c r="A84" t="s">
        <v>16</v>
      </c>
      <c r="B84" t="s">
        <v>2943</v>
      </c>
      <c r="C84" t="s">
        <v>2944</v>
      </c>
      <c r="D84" t="s">
        <v>2967</v>
      </c>
      <c r="E84" t="s">
        <v>2968</v>
      </c>
      <c r="F84" t="s">
        <v>2783</v>
      </c>
      <c r="G84" t="s">
        <v>2969</v>
      </c>
    </row>
    <row r="85" spans="1:7" ht="11.25" customHeight="1">
      <c r="A85" t="s">
        <v>16</v>
      </c>
      <c r="B85" t="s">
        <v>2943</v>
      </c>
      <c r="C85" t="s">
        <v>2944</v>
      </c>
      <c r="D85" t="s">
        <v>2970</v>
      </c>
      <c r="E85" t="s">
        <v>2971</v>
      </c>
      <c r="F85" t="s">
        <v>2783</v>
      </c>
      <c r="G85" t="s">
        <v>2972</v>
      </c>
    </row>
    <row r="86" spans="1:7" ht="11.25" customHeight="1">
      <c r="A86" t="s">
        <v>16</v>
      </c>
      <c r="B86" t="s">
        <v>2943</v>
      </c>
      <c r="C86" t="s">
        <v>2944</v>
      </c>
      <c r="D86" t="s">
        <v>2973</v>
      </c>
      <c r="E86" t="s">
        <v>2974</v>
      </c>
      <c r="F86" t="s">
        <v>2799</v>
      </c>
      <c r="G86" t="s">
        <v>2975</v>
      </c>
    </row>
    <row r="87" spans="1:7" ht="11.25" customHeight="1">
      <c r="A87" t="s">
        <v>16</v>
      </c>
      <c r="B87" t="s">
        <v>2976</v>
      </c>
      <c r="C87" t="s">
        <v>2977</v>
      </c>
      <c r="D87" t="s">
        <v>2978</v>
      </c>
      <c r="E87" t="s">
        <v>2979</v>
      </c>
      <c r="F87" t="s">
        <v>2783</v>
      </c>
      <c r="G87" t="s">
        <v>2980</v>
      </c>
    </row>
    <row r="88" spans="1:7" ht="11.25" customHeight="1">
      <c r="A88" t="s">
        <v>16</v>
      </c>
      <c r="B88" t="s">
        <v>2976</v>
      </c>
      <c r="C88" t="s">
        <v>2977</v>
      </c>
      <c r="D88" t="s">
        <v>2976</v>
      </c>
      <c r="E88" t="s">
        <v>2977</v>
      </c>
      <c r="F88" t="s">
        <v>2784</v>
      </c>
      <c r="G88" t="s">
        <v>2981</v>
      </c>
    </row>
    <row r="89" spans="1:7" ht="11.25" customHeight="1">
      <c r="A89" t="s">
        <v>16</v>
      </c>
      <c r="B89" t="s">
        <v>2976</v>
      </c>
      <c r="C89" t="s">
        <v>2977</v>
      </c>
      <c r="D89" t="s">
        <v>2982</v>
      </c>
      <c r="E89" t="s">
        <v>2983</v>
      </c>
      <c r="F89" t="s">
        <v>2783</v>
      </c>
      <c r="G89" t="s">
        <v>2984</v>
      </c>
    </row>
    <row r="90" spans="1:7" ht="11.25" customHeight="1">
      <c r="A90" t="s">
        <v>16</v>
      </c>
      <c r="B90" t="s">
        <v>2976</v>
      </c>
      <c r="C90" t="s">
        <v>2977</v>
      </c>
      <c r="D90" t="s">
        <v>2985</v>
      </c>
      <c r="E90" t="s">
        <v>2986</v>
      </c>
      <c r="F90" t="s">
        <v>2783</v>
      </c>
      <c r="G90" t="s">
        <v>2987</v>
      </c>
    </row>
    <row r="91" spans="1:7" ht="11.25" customHeight="1">
      <c r="A91" t="s">
        <v>16</v>
      </c>
      <c r="B91" t="s">
        <v>2976</v>
      </c>
      <c r="C91" t="s">
        <v>2977</v>
      </c>
      <c r="D91" t="s">
        <v>2988</v>
      </c>
      <c r="E91" t="s">
        <v>2989</v>
      </c>
      <c r="F91" t="s">
        <v>2783</v>
      </c>
      <c r="G91" t="s">
        <v>2990</v>
      </c>
    </row>
    <row r="92" spans="1:7" ht="11.25" customHeight="1">
      <c r="A92" t="s">
        <v>16</v>
      </c>
      <c r="B92" t="s">
        <v>2976</v>
      </c>
      <c r="C92" t="s">
        <v>2977</v>
      </c>
      <c r="D92" t="s">
        <v>2991</v>
      </c>
      <c r="E92" t="s">
        <v>2992</v>
      </c>
      <c r="F92" t="s">
        <v>2799</v>
      </c>
      <c r="G92" t="s">
        <v>2993</v>
      </c>
    </row>
    <row r="93" spans="1:7" ht="11.25" customHeight="1">
      <c r="A93" t="s">
        <v>16</v>
      </c>
      <c r="B93" t="s">
        <v>2994</v>
      </c>
      <c r="C93" t="s">
        <v>2995</v>
      </c>
      <c r="D93" t="s">
        <v>2996</v>
      </c>
      <c r="E93" t="s">
        <v>2997</v>
      </c>
      <c r="F93" t="s">
        <v>2783</v>
      </c>
      <c r="G93" t="s">
        <v>2998</v>
      </c>
    </row>
    <row r="94" spans="1:7" ht="11.25" customHeight="1">
      <c r="A94" t="s">
        <v>16</v>
      </c>
      <c r="B94" t="s">
        <v>2994</v>
      </c>
      <c r="C94" t="s">
        <v>2995</v>
      </c>
      <c r="D94" t="s">
        <v>2999</v>
      </c>
      <c r="E94" t="s">
        <v>3000</v>
      </c>
      <c r="F94" t="s">
        <v>2783</v>
      </c>
      <c r="G94" t="s">
        <v>3001</v>
      </c>
    </row>
    <row r="95" spans="1:7" ht="11.25" customHeight="1">
      <c r="A95" t="s">
        <v>16</v>
      </c>
      <c r="B95" t="s">
        <v>2994</v>
      </c>
      <c r="C95" t="s">
        <v>2995</v>
      </c>
      <c r="D95" t="s">
        <v>2994</v>
      </c>
      <c r="E95" t="s">
        <v>2995</v>
      </c>
      <c r="F95" t="s">
        <v>2784</v>
      </c>
      <c r="G95" t="s">
        <v>3002</v>
      </c>
    </row>
    <row r="96" spans="1:7" ht="11.25" customHeight="1">
      <c r="A96" t="s">
        <v>16</v>
      </c>
      <c r="B96" t="s">
        <v>2994</v>
      </c>
      <c r="C96" t="s">
        <v>2995</v>
      </c>
      <c r="D96" t="s">
        <v>3003</v>
      </c>
      <c r="E96" t="s">
        <v>3004</v>
      </c>
      <c r="F96" t="s">
        <v>2783</v>
      </c>
      <c r="G96" t="s">
        <v>3005</v>
      </c>
    </row>
    <row r="97" spans="1:7" ht="11.25" customHeight="1">
      <c r="A97" t="s">
        <v>16</v>
      </c>
      <c r="B97" t="s">
        <v>2994</v>
      </c>
      <c r="C97" t="s">
        <v>2995</v>
      </c>
      <c r="D97" t="s">
        <v>3006</v>
      </c>
      <c r="E97" t="s">
        <v>3007</v>
      </c>
      <c r="F97" t="s">
        <v>2799</v>
      </c>
      <c r="G97" t="s">
        <v>3008</v>
      </c>
    </row>
    <row r="98" spans="1:7" ht="11.25" customHeight="1">
      <c r="A98" t="s">
        <v>16</v>
      </c>
      <c r="B98" t="s">
        <v>3009</v>
      </c>
      <c r="C98" t="s">
        <v>3010</v>
      </c>
      <c r="D98" t="s">
        <v>3011</v>
      </c>
      <c r="E98" t="s">
        <v>3012</v>
      </c>
      <c r="F98" t="s">
        <v>2783</v>
      </c>
      <c r="G98" t="s">
        <v>3013</v>
      </c>
    </row>
    <row r="99" spans="1:7" ht="11.25" customHeight="1">
      <c r="A99" t="s">
        <v>16</v>
      </c>
      <c r="B99" t="s">
        <v>3009</v>
      </c>
      <c r="C99" t="s">
        <v>3010</v>
      </c>
      <c r="D99" t="s">
        <v>3014</v>
      </c>
      <c r="E99" t="s">
        <v>3015</v>
      </c>
      <c r="F99" t="s">
        <v>2783</v>
      </c>
      <c r="G99" t="s">
        <v>3016</v>
      </c>
    </row>
    <row r="100" spans="1:7" ht="11.25" customHeight="1">
      <c r="A100" t="s">
        <v>16</v>
      </c>
      <c r="B100" t="s">
        <v>3009</v>
      </c>
      <c r="C100" t="s">
        <v>3010</v>
      </c>
      <c r="D100" t="s">
        <v>3017</v>
      </c>
      <c r="E100" t="s">
        <v>3018</v>
      </c>
      <c r="F100" t="s">
        <v>2783</v>
      </c>
      <c r="G100" t="s">
        <v>3019</v>
      </c>
    </row>
    <row r="101" spans="1:7" ht="11.25" customHeight="1">
      <c r="A101" t="s">
        <v>16</v>
      </c>
      <c r="B101" t="s">
        <v>3009</v>
      </c>
      <c r="C101" t="s">
        <v>3010</v>
      </c>
      <c r="D101" t="s">
        <v>3020</v>
      </c>
      <c r="E101" t="s">
        <v>3021</v>
      </c>
      <c r="F101" t="s">
        <v>2783</v>
      </c>
      <c r="G101" t="s">
        <v>3022</v>
      </c>
    </row>
    <row r="102" spans="1:7" ht="11.25" customHeight="1">
      <c r="A102" t="s">
        <v>16</v>
      </c>
      <c r="B102" t="s">
        <v>3009</v>
      </c>
      <c r="C102" t="s">
        <v>3010</v>
      </c>
      <c r="D102" t="s">
        <v>3023</v>
      </c>
      <c r="E102" t="s">
        <v>3024</v>
      </c>
      <c r="F102" t="s">
        <v>2783</v>
      </c>
      <c r="G102" t="s">
        <v>3025</v>
      </c>
    </row>
    <row r="103" spans="1:7" ht="11.25" customHeight="1">
      <c r="A103" t="s">
        <v>16</v>
      </c>
      <c r="B103" t="s">
        <v>3009</v>
      </c>
      <c r="C103" t="s">
        <v>3010</v>
      </c>
      <c r="D103" t="s">
        <v>3009</v>
      </c>
      <c r="E103" t="s">
        <v>3010</v>
      </c>
      <c r="F103" t="s">
        <v>2784</v>
      </c>
      <c r="G103" t="s">
        <v>3026</v>
      </c>
    </row>
    <row r="104" spans="1:7" ht="11.25" customHeight="1">
      <c r="A104" t="s">
        <v>16</v>
      </c>
      <c r="B104" t="s">
        <v>3009</v>
      </c>
      <c r="C104" t="s">
        <v>3010</v>
      </c>
      <c r="D104" t="s">
        <v>3027</v>
      </c>
      <c r="E104" t="s">
        <v>3028</v>
      </c>
      <c r="F104" t="s">
        <v>2783</v>
      </c>
      <c r="G104" t="s">
        <v>3029</v>
      </c>
    </row>
    <row r="105" spans="1:7" ht="11.25" customHeight="1">
      <c r="A105" t="s">
        <v>16</v>
      </c>
      <c r="B105" t="s">
        <v>3009</v>
      </c>
      <c r="C105" t="s">
        <v>3010</v>
      </c>
      <c r="D105" t="s">
        <v>3030</v>
      </c>
      <c r="E105" t="s">
        <v>3031</v>
      </c>
      <c r="F105" t="s">
        <v>2783</v>
      </c>
      <c r="G105" t="s">
        <v>3032</v>
      </c>
    </row>
    <row r="106" spans="1:7" ht="11.25" customHeight="1">
      <c r="A106" t="s">
        <v>16</v>
      </c>
      <c r="B106" t="s">
        <v>3009</v>
      </c>
      <c r="C106" t="s">
        <v>3010</v>
      </c>
      <c r="D106" t="s">
        <v>3033</v>
      </c>
      <c r="E106" t="s">
        <v>3034</v>
      </c>
      <c r="F106" t="s">
        <v>2783</v>
      </c>
      <c r="G106" t="s">
        <v>3035</v>
      </c>
    </row>
    <row r="107" spans="1:7" ht="11.25" customHeight="1">
      <c r="A107" t="s">
        <v>16</v>
      </c>
      <c r="B107" t="s">
        <v>3009</v>
      </c>
      <c r="C107" t="s">
        <v>3010</v>
      </c>
      <c r="D107" t="s">
        <v>3036</v>
      </c>
      <c r="E107" t="s">
        <v>3037</v>
      </c>
      <c r="F107" t="s">
        <v>2799</v>
      </c>
      <c r="G107" t="s">
        <v>3038</v>
      </c>
    </row>
    <row r="108" spans="1:7" ht="11.25" customHeight="1">
      <c r="A108" t="s">
        <v>16</v>
      </c>
      <c r="B108" t="s">
        <v>3039</v>
      </c>
      <c r="C108" t="s">
        <v>3040</v>
      </c>
      <c r="D108" t="s">
        <v>3041</v>
      </c>
      <c r="E108" t="s">
        <v>3042</v>
      </c>
      <c r="F108" t="s">
        <v>2783</v>
      </c>
      <c r="G108" t="s">
        <v>3043</v>
      </c>
    </row>
    <row r="109" spans="1:7" ht="11.25" customHeight="1">
      <c r="A109" t="s">
        <v>16</v>
      </c>
      <c r="B109" t="s">
        <v>3039</v>
      </c>
      <c r="C109" t="s">
        <v>3040</v>
      </c>
      <c r="D109" t="s">
        <v>3044</v>
      </c>
      <c r="E109" t="s">
        <v>3045</v>
      </c>
      <c r="F109" t="s">
        <v>2783</v>
      </c>
      <c r="G109" t="s">
        <v>3046</v>
      </c>
    </row>
    <row r="110" spans="1:7" ht="11.25" customHeight="1">
      <c r="A110" t="s">
        <v>16</v>
      </c>
      <c r="B110" t="s">
        <v>3039</v>
      </c>
      <c r="C110" t="s">
        <v>3040</v>
      </c>
      <c r="D110" t="s">
        <v>3047</v>
      </c>
      <c r="E110" t="s">
        <v>3048</v>
      </c>
      <c r="F110" t="s">
        <v>2783</v>
      </c>
      <c r="G110" t="s">
        <v>3049</v>
      </c>
    </row>
    <row r="111" spans="1:7" ht="11.25" customHeight="1">
      <c r="A111" t="s">
        <v>16</v>
      </c>
      <c r="B111" t="s">
        <v>3039</v>
      </c>
      <c r="C111" t="s">
        <v>3040</v>
      </c>
      <c r="D111" t="s">
        <v>3050</v>
      </c>
      <c r="E111" t="s">
        <v>3051</v>
      </c>
      <c r="F111" t="s">
        <v>2783</v>
      </c>
      <c r="G111" t="s">
        <v>3052</v>
      </c>
    </row>
    <row r="112" spans="1:7" ht="11.25" customHeight="1">
      <c r="A112" t="s">
        <v>16</v>
      </c>
      <c r="B112" t="s">
        <v>3039</v>
      </c>
      <c r="C112" t="s">
        <v>3040</v>
      </c>
      <c r="D112" t="s">
        <v>3053</v>
      </c>
      <c r="E112" t="s">
        <v>3054</v>
      </c>
      <c r="F112" t="s">
        <v>2783</v>
      </c>
      <c r="G112" t="s">
        <v>3055</v>
      </c>
    </row>
    <row r="113" spans="1:7" ht="11.25" customHeight="1">
      <c r="A113" t="s">
        <v>16</v>
      </c>
      <c r="B113" t="s">
        <v>3039</v>
      </c>
      <c r="C113" t="s">
        <v>3040</v>
      </c>
      <c r="D113" t="s">
        <v>3056</v>
      </c>
      <c r="E113" t="s">
        <v>3057</v>
      </c>
      <c r="F113" t="s">
        <v>2783</v>
      </c>
      <c r="G113" t="s">
        <v>3058</v>
      </c>
    </row>
    <row r="114" spans="1:7" ht="11.25" customHeight="1">
      <c r="A114" t="s">
        <v>16</v>
      </c>
      <c r="B114" t="s">
        <v>3039</v>
      </c>
      <c r="C114" t="s">
        <v>3040</v>
      </c>
      <c r="D114" t="s">
        <v>3059</v>
      </c>
      <c r="E114" t="s">
        <v>3060</v>
      </c>
      <c r="F114" t="s">
        <v>2783</v>
      </c>
      <c r="G114" t="s">
        <v>3061</v>
      </c>
    </row>
    <row r="115" spans="1:7" ht="11.25" customHeight="1">
      <c r="A115" t="s">
        <v>16</v>
      </c>
      <c r="B115" t="s">
        <v>3039</v>
      </c>
      <c r="C115" t="s">
        <v>3040</v>
      </c>
      <c r="D115" t="s">
        <v>3039</v>
      </c>
      <c r="E115" t="s">
        <v>3040</v>
      </c>
      <c r="F115" t="s">
        <v>2784</v>
      </c>
      <c r="G115" t="s">
        <v>3062</v>
      </c>
    </row>
    <row r="116" spans="1:7" ht="11.25" customHeight="1">
      <c r="A116" t="s">
        <v>16</v>
      </c>
      <c r="B116" t="s">
        <v>3039</v>
      </c>
      <c r="C116" t="s">
        <v>3040</v>
      </c>
      <c r="D116" t="s">
        <v>3063</v>
      </c>
      <c r="E116" t="s">
        <v>3064</v>
      </c>
      <c r="F116" t="s">
        <v>2783</v>
      </c>
      <c r="G116" t="s">
        <v>3065</v>
      </c>
    </row>
    <row r="117" spans="1:7" ht="11.25" customHeight="1">
      <c r="A117" t="s">
        <v>16</v>
      </c>
      <c r="B117" t="s">
        <v>3039</v>
      </c>
      <c r="C117" t="s">
        <v>3040</v>
      </c>
      <c r="D117" t="s">
        <v>3066</v>
      </c>
      <c r="E117" t="s">
        <v>3067</v>
      </c>
      <c r="F117" t="s">
        <v>2799</v>
      </c>
      <c r="G117" t="s">
        <v>3068</v>
      </c>
    </row>
    <row r="118" spans="1:7" ht="11.25" customHeight="1">
      <c r="A118" t="s">
        <v>16</v>
      </c>
      <c r="B118" t="s">
        <v>3069</v>
      </c>
      <c r="C118" t="s">
        <v>3070</v>
      </c>
      <c r="D118" t="s">
        <v>3071</v>
      </c>
      <c r="E118" t="s">
        <v>3072</v>
      </c>
      <c r="F118" t="s">
        <v>2783</v>
      </c>
      <c r="G118" t="s">
        <v>3073</v>
      </c>
    </row>
    <row r="119" spans="1:7" ht="11.25" customHeight="1">
      <c r="A119" t="s">
        <v>16</v>
      </c>
      <c r="B119" t="s">
        <v>3069</v>
      </c>
      <c r="C119" t="s">
        <v>3070</v>
      </c>
      <c r="D119" t="s">
        <v>3074</v>
      </c>
      <c r="E119" t="s">
        <v>3075</v>
      </c>
      <c r="F119" t="s">
        <v>2783</v>
      </c>
      <c r="G119" t="s">
        <v>3076</v>
      </c>
    </row>
    <row r="120" spans="1:7" ht="11.25" customHeight="1">
      <c r="A120" t="s">
        <v>16</v>
      </c>
      <c r="B120" t="s">
        <v>3069</v>
      </c>
      <c r="C120" t="s">
        <v>3070</v>
      </c>
      <c r="D120" t="s">
        <v>3077</v>
      </c>
      <c r="E120" t="s">
        <v>3078</v>
      </c>
      <c r="F120" t="s">
        <v>2783</v>
      </c>
      <c r="G120" t="s">
        <v>3079</v>
      </c>
    </row>
    <row r="121" spans="1:7" ht="11.25" customHeight="1">
      <c r="A121" t="s">
        <v>16</v>
      </c>
      <c r="B121" t="s">
        <v>3069</v>
      </c>
      <c r="C121" t="s">
        <v>3070</v>
      </c>
      <c r="D121" t="s">
        <v>3080</v>
      </c>
      <c r="E121" t="s">
        <v>3081</v>
      </c>
      <c r="F121" t="s">
        <v>2783</v>
      </c>
      <c r="G121" t="s">
        <v>3082</v>
      </c>
    </row>
    <row r="122" spans="1:7" ht="11.25" customHeight="1">
      <c r="A122" t="s">
        <v>16</v>
      </c>
      <c r="B122" t="s">
        <v>3069</v>
      </c>
      <c r="C122" t="s">
        <v>3070</v>
      </c>
      <c r="D122" t="s">
        <v>3083</v>
      </c>
      <c r="E122" t="s">
        <v>3084</v>
      </c>
      <c r="F122" t="s">
        <v>2783</v>
      </c>
      <c r="G122" t="s">
        <v>3085</v>
      </c>
    </row>
    <row r="123" spans="1:7" ht="11.25" customHeight="1">
      <c r="A123" t="s">
        <v>16</v>
      </c>
      <c r="B123" t="s">
        <v>3069</v>
      </c>
      <c r="C123" t="s">
        <v>3070</v>
      </c>
      <c r="D123" t="s">
        <v>3086</v>
      </c>
      <c r="E123" t="s">
        <v>3087</v>
      </c>
      <c r="F123" t="s">
        <v>2783</v>
      </c>
      <c r="G123" t="s">
        <v>3088</v>
      </c>
    </row>
    <row r="124" spans="1:7" ht="11.25" customHeight="1">
      <c r="A124" t="s">
        <v>16</v>
      </c>
      <c r="B124" t="s">
        <v>3069</v>
      </c>
      <c r="C124" t="s">
        <v>3070</v>
      </c>
      <c r="D124" t="s">
        <v>3069</v>
      </c>
      <c r="E124" t="s">
        <v>3070</v>
      </c>
      <c r="F124" t="s">
        <v>2784</v>
      </c>
      <c r="G124" t="s">
        <v>3089</v>
      </c>
    </row>
    <row r="125" spans="1:7" ht="11.25" customHeight="1">
      <c r="A125" t="s">
        <v>16</v>
      </c>
      <c r="B125" t="s">
        <v>3069</v>
      </c>
      <c r="C125" t="s">
        <v>3070</v>
      </c>
      <c r="D125" t="s">
        <v>3090</v>
      </c>
      <c r="E125" t="s">
        <v>3091</v>
      </c>
      <c r="F125" t="s">
        <v>2783</v>
      </c>
      <c r="G125" t="s">
        <v>3092</v>
      </c>
    </row>
    <row r="126" spans="1:7" ht="11.25" customHeight="1">
      <c r="A126" t="s">
        <v>16</v>
      </c>
      <c r="B126" t="s">
        <v>3069</v>
      </c>
      <c r="C126" t="s">
        <v>3070</v>
      </c>
      <c r="D126" t="s">
        <v>3093</v>
      </c>
      <c r="E126" t="s">
        <v>3094</v>
      </c>
      <c r="F126" t="s">
        <v>2799</v>
      </c>
      <c r="G126" t="s">
        <v>3095</v>
      </c>
    </row>
    <row r="127" spans="1:7" ht="11.25" customHeight="1">
      <c r="A127" t="s">
        <v>16</v>
      </c>
      <c r="B127" t="s">
        <v>3096</v>
      </c>
      <c r="C127" t="s">
        <v>3097</v>
      </c>
      <c r="D127" t="s">
        <v>3098</v>
      </c>
      <c r="E127" t="s">
        <v>3099</v>
      </c>
      <c r="F127" t="s">
        <v>2783</v>
      </c>
      <c r="G127" t="s">
        <v>3100</v>
      </c>
    </row>
    <row r="128" spans="1:7" ht="11.25" customHeight="1">
      <c r="A128" t="s">
        <v>16</v>
      </c>
      <c r="B128" t="s">
        <v>3096</v>
      </c>
      <c r="C128" t="s">
        <v>3097</v>
      </c>
      <c r="D128" t="s">
        <v>3101</v>
      </c>
      <c r="E128" t="s">
        <v>3102</v>
      </c>
      <c r="F128" t="s">
        <v>2783</v>
      </c>
      <c r="G128" t="s">
        <v>3103</v>
      </c>
    </row>
    <row r="129" spans="1:7" ht="11.25" customHeight="1">
      <c r="A129" t="s">
        <v>16</v>
      </c>
      <c r="B129" t="s">
        <v>3096</v>
      </c>
      <c r="C129" t="s">
        <v>3097</v>
      </c>
      <c r="D129" t="s">
        <v>3104</v>
      </c>
      <c r="E129" t="s">
        <v>3105</v>
      </c>
      <c r="F129" t="s">
        <v>2783</v>
      </c>
      <c r="G129" t="s">
        <v>3106</v>
      </c>
    </row>
    <row r="130" spans="1:7" ht="11.25" customHeight="1">
      <c r="A130" t="s">
        <v>16</v>
      </c>
      <c r="B130" t="s">
        <v>3096</v>
      </c>
      <c r="C130" t="s">
        <v>3097</v>
      </c>
      <c r="D130" t="s">
        <v>3107</v>
      </c>
      <c r="E130" t="s">
        <v>3108</v>
      </c>
      <c r="F130" t="s">
        <v>2783</v>
      </c>
      <c r="G130" t="s">
        <v>3109</v>
      </c>
    </row>
    <row r="131" spans="1:7" ht="11.25" customHeight="1">
      <c r="A131" t="s">
        <v>16</v>
      </c>
      <c r="B131" t="s">
        <v>3096</v>
      </c>
      <c r="C131" t="s">
        <v>3097</v>
      </c>
      <c r="D131" t="s">
        <v>3096</v>
      </c>
      <c r="E131" t="s">
        <v>3097</v>
      </c>
      <c r="F131" t="s">
        <v>2784</v>
      </c>
      <c r="G131" t="s">
        <v>3110</v>
      </c>
    </row>
    <row r="132" spans="1:7" ht="11.25" customHeight="1">
      <c r="A132" t="s">
        <v>16</v>
      </c>
      <c r="B132" t="s">
        <v>3096</v>
      </c>
      <c r="C132" t="s">
        <v>3097</v>
      </c>
      <c r="D132" t="s">
        <v>3111</v>
      </c>
      <c r="E132" t="s">
        <v>3112</v>
      </c>
      <c r="F132" t="s">
        <v>2783</v>
      </c>
      <c r="G132" t="s">
        <v>3113</v>
      </c>
    </row>
    <row r="133" spans="1:7" ht="11.25" customHeight="1">
      <c r="A133" t="s">
        <v>16</v>
      </c>
      <c r="B133" t="s">
        <v>3096</v>
      </c>
      <c r="C133" t="s">
        <v>3097</v>
      </c>
      <c r="D133" t="s">
        <v>3114</v>
      </c>
      <c r="E133" t="s">
        <v>3115</v>
      </c>
      <c r="F133" t="s">
        <v>2799</v>
      </c>
      <c r="G133" t="s">
        <v>3116</v>
      </c>
    </row>
    <row r="134" spans="1:7" ht="11.25" customHeight="1">
      <c r="A134" t="s">
        <v>16</v>
      </c>
      <c r="B134" t="s">
        <v>3117</v>
      </c>
      <c r="C134" t="s">
        <v>3118</v>
      </c>
      <c r="D134" t="s">
        <v>3117</v>
      </c>
      <c r="E134" t="s">
        <v>3118</v>
      </c>
      <c r="F134" t="s">
        <v>3119</v>
      </c>
      <c r="G134" t="s">
        <v>3120</v>
      </c>
    </row>
    <row r="135" spans="1:7" ht="11.25" customHeight="1">
      <c r="A135" t="s">
        <v>16</v>
      </c>
      <c r="B135" t="s">
        <v>99</v>
      </c>
      <c r="C135" t="s">
        <v>100</v>
      </c>
      <c r="D135" t="s">
        <v>99</v>
      </c>
      <c r="E135" t="s">
        <v>100</v>
      </c>
      <c r="F135" t="s">
        <v>3119</v>
      </c>
      <c r="G135" t="s">
        <v>98</v>
      </c>
    </row>
    <row r="136" spans="1:7" ht="11.25" customHeight="1">
      <c r="A136" t="s">
        <v>16</v>
      </c>
      <c r="B136" t="s">
        <v>3121</v>
      </c>
      <c r="C136" t="s">
        <v>3122</v>
      </c>
      <c r="D136" t="s">
        <v>3121</v>
      </c>
      <c r="E136" t="s">
        <v>3122</v>
      </c>
      <c r="F136" t="s">
        <v>3119</v>
      </c>
      <c r="G136" t="s">
        <v>3123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314"/>
    <col min="2" max="2" width="84.28515625" style="2314" customWidth="1"/>
    <col min="3" max="3" width="9.140625" style="2314"/>
  </cols>
  <sheetData>
    <row r="1" spans="1:3" ht="11.25" customHeight="1">
      <c r="A1" s="766" t="s">
        <v>3141</v>
      </c>
      <c r="B1" s="766" t="s">
        <v>3142</v>
      </c>
      <c r="C1" s="766" t="s">
        <v>1201</v>
      </c>
    </row>
    <row r="2" spans="1:3" ht="11.25" customHeight="1">
      <c r="A2" s="766">
        <v>4189678</v>
      </c>
      <c r="B2" s="766" t="s">
        <v>3143</v>
      </c>
      <c r="C2" s="766" t="s">
        <v>3144</v>
      </c>
    </row>
    <row r="3" spans="1:3" ht="11.25" customHeight="1">
      <c r="A3" s="766">
        <v>4190415</v>
      </c>
      <c r="B3" s="766" t="s">
        <v>3145</v>
      </c>
      <c r="C3" s="766" t="s">
        <v>3144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316" customWidth="1"/>
    <col min="2" max="5" width="9.140625" style="2316"/>
  </cols>
  <sheetData>
    <row r="1" spans="1:5" ht="15" customHeight="1">
      <c r="A1" s="100" t="s">
        <v>3146</v>
      </c>
      <c r="B1" s="100" t="s">
        <v>3147</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3148</v>
      </c>
      <c r="B1" t="b">
        <v>1</v>
      </c>
    </row>
    <row r="2" spans="1:2" ht="11.25" customHeight="1">
      <c r="A2" t="s">
        <v>3149</v>
      </c>
      <c r="B2" t="b">
        <v>0</v>
      </c>
    </row>
    <row r="3" spans="1:2" ht="11.25" customHeight="1">
      <c r="A3" t="s">
        <v>3150</v>
      </c>
      <c r="B3" t="b">
        <v>0</v>
      </c>
    </row>
    <row r="4" spans="1:2" ht="11.25" customHeight="1">
      <c r="A4" t="s">
        <v>3151</v>
      </c>
      <c r="B4" t="b">
        <v>0</v>
      </c>
    </row>
    <row r="5" spans="1:2" ht="11.25" customHeight="1">
      <c r="A5" t="s">
        <v>3152</v>
      </c>
      <c r="B5" t="b">
        <v>1</v>
      </c>
    </row>
    <row r="6" spans="1:2" ht="11.25" customHeight="1">
      <c r="A6" t="s">
        <v>3153</v>
      </c>
      <c r="B6" t="b">
        <v>0</v>
      </c>
    </row>
    <row r="7" spans="1:2" ht="11.25" customHeight="1">
      <c r="A7" t="s">
        <v>3154</v>
      </c>
      <c r="B7" t="b">
        <v>0</v>
      </c>
    </row>
    <row r="8" spans="1:2" ht="11.25" customHeight="1">
      <c r="A8" t="s">
        <v>3155</v>
      </c>
      <c r="B8" t="b">
        <v>0</v>
      </c>
    </row>
    <row r="9" spans="1:2" ht="11.25" customHeight="1">
      <c r="A9" t="s">
        <v>3156</v>
      </c>
      <c r="B9" t="b">
        <v>0</v>
      </c>
    </row>
    <row r="10" spans="1:2" ht="11.25" customHeight="1">
      <c r="A10" t="s">
        <v>3157</v>
      </c>
      <c r="B10" t="b">
        <v>1</v>
      </c>
    </row>
    <row r="11" spans="1:2" ht="11.25" customHeight="1">
      <c r="A11" t="s">
        <v>3158</v>
      </c>
      <c r="B11" t="b">
        <v>0</v>
      </c>
    </row>
    <row r="12" spans="1:2" ht="11.25" customHeight="1">
      <c r="A12" t="s">
        <v>3159</v>
      </c>
      <c r="B12" t="b">
        <v>0</v>
      </c>
    </row>
    <row r="13" spans="1:2" ht="11.25" customHeight="1">
      <c r="A13" t="s">
        <v>3160</v>
      </c>
      <c r="B13" t="b">
        <v>0</v>
      </c>
    </row>
    <row r="14" spans="1:2" ht="11.25" customHeight="1">
      <c r="A14" t="s">
        <v>3161</v>
      </c>
      <c r="B14" t="b">
        <v>0</v>
      </c>
    </row>
    <row r="15" spans="1:2" ht="11.25" customHeight="1">
      <c r="A15" t="s">
        <v>3162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234"/>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248" customWidth="1"/>
    <col min="2" max="2" width="21.140625" style="2248" customWidth="1"/>
  </cols>
  <sheetData>
    <row r="1" spans="1:2" ht="11.25" customHeight="1">
      <c r="A1" s="7" t="s">
        <v>3163</v>
      </c>
      <c r="B1" s="7" t="s">
        <v>3164</v>
      </c>
    </row>
    <row r="2" spans="1:2" ht="11.25" customHeight="1">
      <c r="A2" s="3" t="s">
        <v>3165</v>
      </c>
      <c r="B2" s="3" t="s">
        <v>3166</v>
      </c>
    </row>
    <row r="3" spans="1:2" ht="11.25" customHeight="1">
      <c r="A3" s="3" t="s">
        <v>3167</v>
      </c>
      <c r="B3" s="3" t="s">
        <v>3168</v>
      </c>
    </row>
    <row r="4" spans="1:2" ht="11.25" customHeight="1">
      <c r="A4" s="3" t="s">
        <v>3169</v>
      </c>
      <c r="B4" s="3" t="s">
        <v>3170</v>
      </c>
    </row>
    <row r="5" spans="1:2" ht="11.25" customHeight="1">
      <c r="A5" s="3" t="s">
        <v>3171</v>
      </c>
      <c r="B5" s="3" t="s">
        <v>3172</v>
      </c>
    </row>
    <row r="6" spans="1:2" ht="11.25" customHeight="1">
      <c r="A6" s="3" t="s">
        <v>3173</v>
      </c>
      <c r="B6" s="3" t="s">
        <v>3174</v>
      </c>
    </row>
    <row r="7" spans="1:2" ht="11.25" customHeight="1">
      <c r="A7" s="3" t="s">
        <v>3175</v>
      </c>
      <c r="B7" s="3" t="s">
        <v>3176</v>
      </c>
    </row>
    <row r="8" spans="1:2" ht="11.25" customHeight="1">
      <c r="A8" s="3" t="s">
        <v>3177</v>
      </c>
      <c r="B8" s="3" t="s">
        <v>3178</v>
      </c>
    </row>
    <row r="9" spans="1:2" ht="11.25" customHeight="1">
      <c r="A9" s="3" t="s">
        <v>3179</v>
      </c>
      <c r="B9" s="3" t="s">
        <v>3180</v>
      </c>
    </row>
    <row r="10" spans="1:2" ht="11.25" customHeight="1">
      <c r="A10" s="3" t="s">
        <v>3181</v>
      </c>
      <c r="B10" s="3" t="s">
        <v>3182</v>
      </c>
    </row>
    <row r="11" spans="1:2" ht="11.25" customHeight="1">
      <c r="A11" s="3" t="s">
        <v>3183</v>
      </c>
      <c r="B11" s="3" t="s">
        <v>3184</v>
      </c>
    </row>
    <row r="12" spans="1:2" ht="11.25" customHeight="1">
      <c r="A12" s="3" t="s">
        <v>3185</v>
      </c>
      <c r="B12" s="3" t="s">
        <v>3186</v>
      </c>
    </row>
    <row r="13" spans="1:2" ht="11.25" customHeight="1">
      <c r="A13" s="3" t="s">
        <v>3187</v>
      </c>
      <c r="B13" s="3" t="s">
        <v>3188</v>
      </c>
    </row>
    <row r="14" spans="1:2" ht="11.25" customHeight="1">
      <c r="A14" s="3" t="s">
        <v>3189</v>
      </c>
      <c r="B14" s="3" t="s">
        <v>3190</v>
      </c>
    </row>
    <row r="15" spans="1:2" ht="11.25" customHeight="1">
      <c r="A15" s="3" t="s">
        <v>3191</v>
      </c>
      <c r="B15" s="3" t="s">
        <v>3192</v>
      </c>
    </row>
    <row r="16" spans="1:2" ht="11.25" customHeight="1">
      <c r="A16" s="3" t="s">
        <v>3193</v>
      </c>
      <c r="B16" s="3" t="s">
        <v>3194</v>
      </c>
    </row>
    <row r="17" spans="1:2" ht="11.25" customHeight="1">
      <c r="A17" s="3" t="s">
        <v>3195</v>
      </c>
      <c r="B17" s="3" t="s">
        <v>3196</v>
      </c>
    </row>
    <row r="18" spans="1:2" ht="11.25" customHeight="1">
      <c r="A18" s="3" t="s">
        <v>3197</v>
      </c>
      <c r="B18" s="3" t="s">
        <v>3198</v>
      </c>
    </row>
    <row r="19" spans="1:2" ht="11.25" customHeight="1">
      <c r="A19" s="3" t="s">
        <v>3199</v>
      </c>
      <c r="B19" s="3" t="s">
        <v>3200</v>
      </c>
    </row>
    <row r="20" spans="1:2" ht="11.25" customHeight="1">
      <c r="A20" s="3" t="s">
        <v>3201</v>
      </c>
      <c r="B20" s="3" t="s">
        <v>3202</v>
      </c>
    </row>
    <row r="21" spans="1:2" ht="11.25" customHeight="1">
      <c r="A21" s="3" t="s">
        <v>3203</v>
      </c>
      <c r="B21" s="3" t="s">
        <v>3204</v>
      </c>
    </row>
    <row r="22" spans="1:2" ht="11.25" customHeight="1">
      <c r="A22" s="3" t="s">
        <v>3205</v>
      </c>
      <c r="B22" s="3" t="s">
        <v>3206</v>
      </c>
    </row>
    <row r="23" spans="1:2" ht="11.25" customHeight="1">
      <c r="A23" s="3" t="s">
        <v>3207</v>
      </c>
      <c r="B23" s="3" t="s">
        <v>3208</v>
      </c>
    </row>
    <row r="24" spans="1:2" ht="11.25" customHeight="1">
      <c r="A24" s="3" t="s">
        <v>3209</v>
      </c>
      <c r="B24" s="3" t="s">
        <v>3210</v>
      </c>
    </row>
    <row r="25" spans="1:2" ht="11.25" customHeight="1">
      <c r="A25" s="3" t="s">
        <v>3211</v>
      </c>
      <c r="B25" s="3" t="s">
        <v>3212</v>
      </c>
    </row>
    <row r="26" spans="1:2" ht="11.25" customHeight="1">
      <c r="A26" s="3" t="s">
        <v>3213</v>
      </c>
      <c r="B26" s="3" t="s">
        <v>3214</v>
      </c>
    </row>
    <row r="27" spans="1:2" ht="11.25" customHeight="1">
      <c r="A27" s="3" t="s">
        <v>3215</v>
      </c>
      <c r="B27" s="3" t="s">
        <v>3216</v>
      </c>
    </row>
    <row r="28" spans="1:2" ht="11.25" customHeight="1">
      <c r="A28" s="3" t="s">
        <v>3217</v>
      </c>
      <c r="B28" s="3" t="s">
        <v>3218</v>
      </c>
    </row>
    <row r="29" spans="1:2" ht="11.25" customHeight="1">
      <c r="A29" s="3" t="s">
        <v>3219</v>
      </c>
      <c r="B29" s="3" t="s">
        <v>3220</v>
      </c>
    </row>
    <row r="30" spans="1:2" ht="11.25" customHeight="1">
      <c r="A30" s="3" t="s">
        <v>3221</v>
      </c>
      <c r="B30" s="3" t="s">
        <v>3222</v>
      </c>
    </row>
    <row r="31" spans="1:2" ht="11.25" customHeight="1">
      <c r="A31" s="3" t="s">
        <v>3223</v>
      </c>
      <c r="B31" s="3" t="s">
        <v>3224</v>
      </c>
    </row>
    <row r="32" spans="1:2" ht="11.25" customHeight="1">
      <c r="A32" s="3" t="s">
        <v>3225</v>
      </c>
      <c r="B32" s="3" t="s">
        <v>3226</v>
      </c>
    </row>
    <row r="33" spans="1:2" ht="11.25" customHeight="1">
      <c r="A33" s="3" t="s">
        <v>3227</v>
      </c>
      <c r="B33" s="3" t="s">
        <v>3228</v>
      </c>
    </row>
    <row r="34" spans="1:2" ht="11.25" customHeight="1">
      <c r="A34" s="3" t="s">
        <v>3229</v>
      </c>
      <c r="B34" s="3" t="s">
        <v>3230</v>
      </c>
    </row>
    <row r="35" spans="1:2" ht="11.25" customHeight="1">
      <c r="A35" s="3" t="s">
        <v>3231</v>
      </c>
      <c r="B35" s="3" t="s">
        <v>3232</v>
      </c>
    </row>
    <row r="36" spans="1:2" ht="11.25" customHeight="1">
      <c r="A36" s="3" t="s">
        <v>3233</v>
      </c>
      <c r="B36" s="3" t="s">
        <v>3234</v>
      </c>
    </row>
    <row r="37" spans="1:2" ht="11.25" customHeight="1">
      <c r="A37" s="3" t="s">
        <v>3235</v>
      </c>
      <c r="B37" s="3" t="s">
        <v>3236</v>
      </c>
    </row>
    <row r="38" spans="1:2" ht="11.25" customHeight="1">
      <c r="A38" s="3" t="s">
        <v>3237</v>
      </c>
      <c r="B38" s="3" t="s">
        <v>3238</v>
      </c>
    </row>
    <row r="39" spans="1:2" ht="11.25" customHeight="1">
      <c r="A39" s="3" t="s">
        <v>3239</v>
      </c>
      <c r="B39" s="3" t="s">
        <v>3240</v>
      </c>
    </row>
    <row r="40" spans="1:2" ht="11.25" customHeight="1">
      <c r="A40" s="3" t="s">
        <v>3241</v>
      </c>
      <c r="B40" s="3" t="s">
        <v>3242</v>
      </c>
    </row>
    <row r="41" spans="1:2" ht="11.25" customHeight="1">
      <c r="A41" s="3" t="s">
        <v>3243</v>
      </c>
      <c r="B41" s="3" t="s">
        <v>3244</v>
      </c>
    </row>
    <row r="42" spans="1:2" ht="11.25" customHeight="1">
      <c r="A42" s="3" t="s">
        <v>3245</v>
      </c>
      <c r="B42" s="3" t="s">
        <v>3246</v>
      </c>
    </row>
    <row r="43" spans="1:2" ht="11.25" customHeight="1">
      <c r="A43" s="3" t="s">
        <v>3247</v>
      </c>
      <c r="B43" s="3" t="s">
        <v>3248</v>
      </c>
    </row>
    <row r="44" spans="1:2" ht="11.25" customHeight="1">
      <c r="A44" s="3" t="s">
        <v>3249</v>
      </c>
      <c r="B44" s="3" t="s">
        <v>3250</v>
      </c>
    </row>
    <row r="45" spans="1:2" ht="11.25" customHeight="1">
      <c r="A45" s="3" t="s">
        <v>3251</v>
      </c>
      <c r="B45" s="3" t="s">
        <v>3252</v>
      </c>
    </row>
    <row r="46" spans="1:2" ht="11.25" customHeight="1">
      <c r="A46" s="3" t="s">
        <v>3253</v>
      </c>
      <c r="B46" s="3" t="s">
        <v>3254</v>
      </c>
    </row>
    <row r="47" spans="1:2" ht="11.25" customHeight="1">
      <c r="A47" s="3" t="s">
        <v>3255</v>
      </c>
      <c r="B47" s="3" t="s">
        <v>3256</v>
      </c>
    </row>
    <row r="48" spans="1:2" ht="11.25" customHeight="1">
      <c r="A48" s="3" t="s">
        <v>3257</v>
      </c>
      <c r="B48" s="3" t="s">
        <v>3258</v>
      </c>
    </row>
    <row r="49" spans="1:2" ht="11.25" customHeight="1">
      <c r="A49" s="3" t="s">
        <v>3259</v>
      </c>
      <c r="B49" s="3" t="s">
        <v>3260</v>
      </c>
    </row>
    <row r="50" spans="1:2" ht="11.25" customHeight="1">
      <c r="A50" s="3" t="s">
        <v>3261</v>
      </c>
      <c r="B50" s="3" t="s">
        <v>3262</v>
      </c>
    </row>
    <row r="51" spans="1:2" ht="11.25" customHeight="1">
      <c r="A51" s="3" t="s">
        <v>3263</v>
      </c>
      <c r="B51" s="3" t="s">
        <v>3264</v>
      </c>
    </row>
    <row r="52" spans="1:2" ht="11.25" customHeight="1">
      <c r="A52" s="3" t="s">
        <v>3265</v>
      </c>
      <c r="B52" s="3" t="s">
        <v>3266</v>
      </c>
    </row>
    <row r="53" spans="1:2" ht="11.25" customHeight="1">
      <c r="A53" s="3" t="s">
        <v>3267</v>
      </c>
      <c r="B53" s="3" t="s">
        <v>3268</v>
      </c>
    </row>
    <row r="54" spans="1:2" ht="11.25" customHeight="1">
      <c r="A54" s="3" t="s">
        <v>3269</v>
      </c>
      <c r="B54" s="3" t="s">
        <v>3270</v>
      </c>
    </row>
    <row r="55" spans="1:2" ht="11.25" customHeight="1">
      <c r="A55" s="3" t="s">
        <v>3271</v>
      </c>
      <c r="B55" s="3" t="s">
        <v>3272</v>
      </c>
    </row>
    <row r="56" spans="1:2" ht="11.25" customHeight="1">
      <c r="A56" s="3" t="s">
        <v>3273</v>
      </c>
      <c r="B56" s="3" t="s">
        <v>3274</v>
      </c>
    </row>
    <row r="57" spans="1:2" ht="11.25" customHeight="1">
      <c r="A57" s="3" t="s">
        <v>3275</v>
      </c>
      <c r="B57" s="3" t="s">
        <v>3276</v>
      </c>
    </row>
    <row r="58" spans="1:2" ht="11.25" customHeight="1">
      <c r="A58" s="3" t="s">
        <v>3277</v>
      </c>
      <c r="B58" s="3" t="s">
        <v>3278</v>
      </c>
    </row>
    <row r="59" spans="1:2" ht="11.25" customHeight="1">
      <c r="A59" s="3" t="s">
        <v>3279</v>
      </c>
      <c r="B59" s="3" t="s">
        <v>3280</v>
      </c>
    </row>
    <row r="60" spans="1:2" ht="11.25" customHeight="1">
      <c r="A60" s="3" t="s">
        <v>3281</v>
      </c>
      <c r="B60" s="3" t="s">
        <v>3282</v>
      </c>
    </row>
    <row r="61" spans="1:2" ht="11.25" customHeight="1">
      <c r="A61" s="3"/>
      <c r="B61" s="3" t="s">
        <v>3283</v>
      </c>
    </row>
    <row r="62" spans="1:2" ht="11.25" customHeight="1">
      <c r="A62" s="3"/>
      <c r="B62" s="3" t="s">
        <v>3284</v>
      </c>
    </row>
    <row r="63" spans="1:2" ht="11.25" customHeight="1">
      <c r="A63" s="3"/>
      <c r="B63" s="3" t="s">
        <v>3285</v>
      </c>
    </row>
    <row r="64" spans="1:2" ht="11.25" customHeight="1">
      <c r="A64" s="3"/>
      <c r="B64" s="3" t="s">
        <v>3286</v>
      </c>
    </row>
    <row r="65" spans="1:2" ht="11.25" customHeight="1">
      <c r="A65" s="3"/>
      <c r="B65" s="3" t="s">
        <v>3287</v>
      </c>
    </row>
    <row r="66" spans="1:2" ht="11.25" customHeight="1">
      <c r="A66" s="3"/>
      <c r="B66" s="3" t="s">
        <v>3288</v>
      </c>
    </row>
    <row r="67" spans="1:2" ht="11.25" customHeight="1">
      <c r="A67" s="3"/>
      <c r="B67" s="3" t="s">
        <v>3289</v>
      </c>
    </row>
    <row r="68" spans="1:2" ht="11.25" customHeight="1">
      <c r="A68" s="3"/>
      <c r="B68" s="3" t="s">
        <v>3290</v>
      </c>
    </row>
    <row r="69" spans="1:2" ht="11.25" customHeight="1">
      <c r="A69" s="3"/>
      <c r="B69" s="3" t="s">
        <v>3291</v>
      </c>
    </row>
    <row r="70" spans="1:2" ht="11.25" customHeight="1">
      <c r="A70" s="3"/>
      <c r="B70" s="3" t="s">
        <v>3292</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248" customWidth="1"/>
    <col min="2" max="2" width="90.7109375" style="2248" customWidth="1"/>
    <col min="3" max="4" width="9.140625" style="2248"/>
  </cols>
  <sheetData>
    <row r="1" spans="2:4" ht="11.25" customHeight="1">
      <c r="B1" s="33" t="s">
        <v>3293</v>
      </c>
    </row>
    <row r="2" spans="2:4" ht="90" customHeight="1">
      <c r="B2" s="34" t="s">
        <v>3294</v>
      </c>
    </row>
    <row r="3" spans="2:4" ht="67.5" customHeight="1">
      <c r="B3" s="34" t="s">
        <v>3295</v>
      </c>
    </row>
    <row r="4" spans="2:4" ht="33.75" customHeight="1">
      <c r="B4" s="34" t="s">
        <v>3296</v>
      </c>
    </row>
    <row r="5" spans="2:4" ht="11.25" customHeight="1">
      <c r="B5" s="34" t="s">
        <v>3297</v>
      </c>
    </row>
    <row r="6" spans="2:4" ht="22.5" customHeight="1">
      <c r="B6" s="34" t="s">
        <v>3298</v>
      </c>
    </row>
    <row r="7" spans="2:4" ht="22.5" customHeight="1">
      <c r="B7" s="34" t="s">
        <v>3299</v>
      </c>
    </row>
    <row r="8" spans="2:4" ht="22.5" customHeight="1">
      <c r="B8" s="34" t="s">
        <v>3300</v>
      </c>
    </row>
    <row r="9" spans="2:4" ht="22.5" customHeight="1">
      <c r="B9" s="34" t="s">
        <v>3301</v>
      </c>
    </row>
    <row r="10" spans="2:4" ht="56.25" customHeight="1">
      <c r="B10" s="34" t="s">
        <v>3302</v>
      </c>
    </row>
    <row r="11" spans="2:4" ht="12.75" customHeight="1">
      <c r="B11" s="97" t="s">
        <v>3303</v>
      </c>
    </row>
    <row r="12" spans="2:4" ht="11.25" customHeight="1">
      <c r="B12" s="33" t="s">
        <v>3304</v>
      </c>
    </row>
    <row r="13" spans="2:4" ht="22.5" customHeight="1">
      <c r="B13" s="34" t="s">
        <v>3305</v>
      </c>
    </row>
    <row r="14" spans="2:4" ht="67.5" customHeight="1">
      <c r="B14" s="34" t="s">
        <v>3306</v>
      </c>
    </row>
    <row r="15" spans="2:4" ht="22.5" customHeight="1">
      <c r="B15" s="34" t="s">
        <v>3307</v>
      </c>
    </row>
    <row r="16" spans="2:4" ht="11.25" customHeight="1">
      <c r="B16" s="33" t="s">
        <v>3308</v>
      </c>
      <c r="D16" s="40"/>
    </row>
    <row r="17" spans="1:2" ht="33.75" customHeight="1">
      <c r="B17" s="34" t="s">
        <v>3309</v>
      </c>
    </row>
    <row r="18" spans="1:2" ht="33.75" customHeight="1">
      <c r="B18" s="34" t="s">
        <v>3310</v>
      </c>
    </row>
    <row r="19" spans="1:2" ht="11.25" customHeight="1">
      <c r="B19" s="34" t="s">
        <v>3311</v>
      </c>
    </row>
    <row r="20" spans="1:2" ht="33.75" customHeight="1">
      <c r="B20" s="34" t="s">
        <v>3312</v>
      </c>
    </row>
    <row r="21" spans="1:2" ht="11.25" customHeight="1">
      <c r="B21" s="33" t="s">
        <v>3313</v>
      </c>
    </row>
    <row r="22" spans="1:2" ht="11.25" customHeight="1">
      <c r="B22" s="34" t="s">
        <v>3314</v>
      </c>
    </row>
    <row r="24" spans="1:2" ht="22.5" customHeight="1">
      <c r="B24" s="99" t="s">
        <v>3315</v>
      </c>
    </row>
    <row r="26" spans="1:2" ht="11.25" customHeight="1">
      <c r="B26" s="33" t="s">
        <v>3316</v>
      </c>
    </row>
    <row r="27" spans="1:2" ht="22.5" customHeight="1">
      <c r="B27" s="98" t="s">
        <v>394</v>
      </c>
    </row>
    <row r="28" spans="1:2" ht="56.25" customHeight="1">
      <c r="B28" s="98" t="s">
        <v>3317</v>
      </c>
    </row>
    <row r="29" spans="1:2" ht="11.25" customHeight="1">
      <c r="B29" s="147" t="s">
        <v>3318</v>
      </c>
    </row>
    <row r="30" spans="1:2" ht="22.5" customHeight="1">
      <c r="B30" s="98" t="s">
        <v>3319</v>
      </c>
    </row>
    <row r="32" spans="1:2" ht="11.25" customHeight="1">
      <c r="A32" s="125"/>
      <c r="B32" s="126" t="s">
        <v>3320</v>
      </c>
    </row>
    <row r="33" spans="1:2" ht="14.25" customHeight="1">
      <c r="A33" s="127">
        <v>1</v>
      </c>
      <c r="B33" s="128" t="s">
        <v>3321</v>
      </c>
    </row>
    <row r="34" spans="1:2" ht="14.25" customHeight="1">
      <c r="A34" s="127">
        <v>2</v>
      </c>
      <c r="B34" s="128" t="s">
        <v>3322</v>
      </c>
    </row>
    <row r="35" spans="1:2" ht="11.25" customHeight="1">
      <c r="B35" s="126" t="s">
        <v>3323</v>
      </c>
    </row>
    <row r="36" spans="1:2" ht="11.25" customHeight="1">
      <c r="B36" s="128" t="s">
        <v>3324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2236" hidden="1" customWidth="1"/>
    <col min="2" max="2" width="9.140625" style="2238" hidden="1" customWidth="1"/>
    <col min="3" max="3" width="3" style="2250" customWidth="1"/>
    <col min="4" max="4" width="5" style="2238" customWidth="1"/>
    <col min="5" max="5" width="38" style="2238" customWidth="1"/>
    <col min="6" max="7" width="3" style="2238" customWidth="1"/>
    <col min="8" max="8" width="38" style="2238" customWidth="1"/>
    <col min="9" max="9" width="35" style="2238" customWidth="1"/>
    <col min="10" max="10" width="103" style="2238" customWidth="1"/>
    <col min="11" max="11" width="3" style="2247" customWidth="1"/>
    <col min="12" max="14" width="10" style="2245" customWidth="1"/>
    <col min="15" max="15" width="13" style="2245" customWidth="1"/>
    <col min="16" max="16" width="15" style="2245" customWidth="1"/>
    <col min="17" max="17" width="16" style="2245" customWidth="1"/>
    <col min="18" max="21" width="10" style="2245" customWidth="1"/>
    <col min="22" max="22" width="10.5703125" style="2238" hidden="1"/>
  </cols>
  <sheetData>
    <row r="1" spans="1:22" ht="22.5" hidden="1" customHeight="1">
      <c r="E1" s="349"/>
      <c r="F1" s="349"/>
      <c r="G1" s="349"/>
      <c r="H1" s="2450" t="s">
        <v>350</v>
      </c>
      <c r="I1" s="2450"/>
      <c r="V1" s="1526" t="s">
        <v>14</v>
      </c>
    </row>
    <row r="2" spans="1:22" s="2238" customFormat="1" ht="14.25" hidden="1" customHeight="1">
      <c r="C2" s="1538"/>
      <c r="D2" s="2463" t="s">
        <v>108</v>
      </c>
      <c r="E2" s="2465"/>
      <c r="F2" s="1544"/>
      <c r="G2" s="1539" t="s">
        <v>108</v>
      </c>
      <c r="H2" s="1542"/>
      <c r="I2" s="1540"/>
      <c r="L2" s="1541"/>
      <c r="M2" s="1541"/>
      <c r="N2" s="1541"/>
      <c r="O2" s="1541" t="s">
        <v>380</v>
      </c>
      <c r="P2" s="1541"/>
      <c r="Q2" s="1541"/>
      <c r="R2" s="1543" t="s">
        <v>379</v>
      </c>
      <c r="S2" s="1543" t="s">
        <v>379</v>
      </c>
      <c r="T2" s="1541"/>
      <c r="U2" s="1541"/>
      <c r="V2" s="1537">
        <v>0</v>
      </c>
    </row>
    <row r="3" spans="1:22" s="2238" customFormat="1" ht="14.25" hidden="1" customHeight="1">
      <c r="C3" s="1538"/>
      <c r="D3" s="2464"/>
      <c r="E3" s="2466"/>
      <c r="F3" s="342"/>
      <c r="G3" s="796"/>
      <c r="H3" s="796" t="s">
        <v>381</v>
      </c>
      <c r="I3" s="250"/>
      <c r="L3" s="1541"/>
      <c r="M3" s="1541"/>
      <c r="N3" s="1541"/>
      <c r="O3" s="1541"/>
      <c r="P3" s="1541"/>
      <c r="Q3" s="1541"/>
      <c r="R3" s="1543"/>
      <c r="S3" s="1543"/>
      <c r="T3" s="1541"/>
      <c r="U3" s="1541"/>
      <c r="V3" s="1537">
        <v>0</v>
      </c>
    </row>
    <row r="4" spans="1:22" ht="14.25" hidden="1" customHeight="1">
      <c r="V4" s="1526">
        <v>0</v>
      </c>
    </row>
    <row r="5" spans="1:22" s="2268" customFormat="1" ht="5.25" customHeight="1">
      <c r="C5" s="638"/>
      <c r="D5" s="639"/>
      <c r="E5" s="639"/>
      <c r="F5" s="639"/>
      <c r="G5" s="639"/>
      <c r="H5" s="639" t="s">
        <v>354</v>
      </c>
      <c r="I5" s="639"/>
      <c r="J5" s="639"/>
      <c r="L5" s="1533"/>
      <c r="M5" s="1533"/>
      <c r="N5" s="1533"/>
      <c r="O5" s="1533"/>
      <c r="P5" s="1533"/>
      <c r="Q5" s="1533"/>
      <c r="R5" s="1533"/>
      <c r="S5" s="1533"/>
      <c r="T5" s="1533"/>
      <c r="U5" s="1533"/>
      <c r="V5" s="1532">
        <v>5</v>
      </c>
    </row>
    <row r="6" spans="1:22" ht="29.25" customHeight="1">
      <c r="C6" s="1435"/>
      <c r="D6" s="2467" t="s">
        <v>382</v>
      </c>
      <c r="E6" s="2467"/>
      <c r="F6" s="2467"/>
      <c r="G6" s="2467"/>
      <c r="H6" s="2467"/>
      <c r="I6" s="2467"/>
      <c r="J6" s="428"/>
      <c r="K6" s="1534"/>
      <c r="V6" s="1526">
        <v>28</v>
      </c>
    </row>
    <row r="7" spans="1:22" ht="18" customHeight="1">
      <c r="C7" s="1435"/>
      <c r="D7" s="2412" t="str">
        <f>IF(org=0,"Не определено",org)</f>
        <v>МУП "Водоканал"</v>
      </c>
      <c r="E7" s="2412"/>
      <c r="F7" s="2412"/>
      <c r="G7" s="2412"/>
      <c r="H7" s="2412"/>
      <c r="I7" s="2412"/>
      <c r="J7" s="428"/>
      <c r="K7" s="1534"/>
      <c r="V7" s="1526">
        <v>17</v>
      </c>
    </row>
    <row r="8" spans="1:22" s="2237" customFormat="1" ht="5.25" customHeight="1">
      <c r="A8" s="1530"/>
      <c r="C8" s="423"/>
      <c r="D8" s="422"/>
      <c r="E8" s="422"/>
      <c r="F8" s="422"/>
      <c r="G8" s="422"/>
      <c r="H8" s="422"/>
      <c r="I8" s="422"/>
      <c r="J8" s="422"/>
      <c r="L8" s="1533"/>
      <c r="M8" s="1533"/>
      <c r="N8" s="1533"/>
      <c r="O8" s="1533"/>
      <c r="P8" s="1533"/>
      <c r="Q8" s="1533"/>
      <c r="R8" s="1533"/>
      <c r="S8" s="1533"/>
      <c r="T8" s="1533"/>
      <c r="U8" s="1533"/>
      <c r="V8" s="1531">
        <v>5</v>
      </c>
    </row>
    <row r="9" spans="1:22" s="2237" customFormat="1" ht="5.25" customHeight="1">
      <c r="A9" s="1530"/>
      <c r="C9" s="423"/>
      <c r="D9" s="422"/>
      <c r="E9" s="422"/>
      <c r="F9" s="422"/>
      <c r="G9" s="422"/>
      <c r="H9" s="422"/>
      <c r="I9" s="422"/>
      <c r="J9" s="422"/>
      <c r="L9" s="1541"/>
      <c r="M9" s="1541"/>
      <c r="N9" s="1541"/>
      <c r="O9" s="1541"/>
      <c r="P9" s="1541"/>
      <c r="Q9" s="1541"/>
      <c r="R9" s="1541"/>
      <c r="S9" s="1541"/>
      <c r="T9" s="1541"/>
      <c r="U9" s="1541"/>
      <c r="V9" s="1531">
        <v>5</v>
      </c>
    </row>
    <row r="10" spans="1:22" ht="14.65" customHeight="1">
      <c r="C10" s="1435"/>
      <c r="D10" s="2451" t="s">
        <v>298</v>
      </c>
      <c r="E10" s="2452"/>
      <c r="F10" s="2452"/>
      <c r="G10" s="2452"/>
      <c r="H10" s="2452"/>
      <c r="I10" s="2452"/>
      <c r="J10" s="2391" t="s">
        <v>299</v>
      </c>
      <c r="V10" s="1526">
        <v>14</v>
      </c>
    </row>
    <row r="11" spans="1:22" ht="27.4" customHeight="1">
      <c r="C11" s="1435"/>
      <c r="D11" s="2363" t="s">
        <v>87</v>
      </c>
      <c r="E11" s="2391" t="s">
        <v>104</v>
      </c>
      <c r="F11" s="2428" t="s">
        <v>87</v>
      </c>
      <c r="G11" s="2429"/>
      <c r="H11" s="2411" t="s">
        <v>383</v>
      </c>
      <c r="I11" s="2411" t="s">
        <v>384</v>
      </c>
      <c r="J11" s="2391"/>
      <c r="V11" s="1526">
        <v>26</v>
      </c>
    </row>
    <row r="12" spans="1:22" ht="14.65" customHeight="1">
      <c r="C12" s="1435"/>
      <c r="D12" s="2363"/>
      <c r="E12" s="2391"/>
      <c r="F12" s="2433"/>
      <c r="G12" s="2434"/>
      <c r="H12" s="2462"/>
      <c r="I12" s="2462"/>
      <c r="J12" s="2391"/>
      <c r="V12" s="1526">
        <v>14</v>
      </c>
    </row>
    <row r="13" spans="1:22" s="2269" customFormat="1" ht="11.25" hidden="1" customHeight="1">
      <c r="C13" s="435"/>
      <c r="D13" s="436" t="s">
        <v>374</v>
      </c>
      <c r="E13" s="436"/>
      <c r="F13" s="436"/>
      <c r="G13" s="436"/>
      <c r="H13" s="434"/>
      <c r="I13" s="434"/>
      <c r="J13" s="372"/>
      <c r="L13" s="1533"/>
      <c r="M13" s="1533"/>
      <c r="N13" s="1533"/>
      <c r="O13" s="1533"/>
      <c r="P13" s="1533"/>
      <c r="Q13" s="1533"/>
      <c r="R13" s="1533"/>
      <c r="S13" s="1533"/>
      <c r="T13" s="1533"/>
      <c r="U13" s="1533"/>
      <c r="V13" s="433">
        <v>0</v>
      </c>
    </row>
    <row r="14" spans="1:22" ht="14.65" customHeight="1">
      <c r="A14" s="1526"/>
      <c r="C14" s="1435"/>
      <c r="D14" s="2463" t="s">
        <v>108</v>
      </c>
      <c r="E14" s="2465"/>
      <c r="F14" s="1536"/>
      <c r="G14" s="1535" t="s">
        <v>108</v>
      </c>
      <c r="H14" s="1542"/>
      <c r="I14" s="1540"/>
      <c r="J14" s="2405" t="s">
        <v>385</v>
      </c>
      <c r="K14" s="1526"/>
      <c r="R14" s="437" t="s">
        <v>379</v>
      </c>
      <c r="S14" s="437" t="s">
        <v>379</v>
      </c>
      <c r="V14" s="1526">
        <v>14</v>
      </c>
    </row>
    <row r="15" spans="1:22" ht="14.65" customHeight="1">
      <c r="A15" s="1526"/>
      <c r="C15" s="1435"/>
      <c r="D15" s="2464"/>
      <c r="E15" s="2466"/>
      <c r="F15" s="342"/>
      <c r="G15" s="796"/>
      <c r="H15" s="796" t="s">
        <v>381</v>
      </c>
      <c r="I15" s="250"/>
      <c r="J15" s="2406"/>
      <c r="K15" s="1526"/>
      <c r="R15" s="437"/>
      <c r="S15" s="437"/>
      <c r="V15" s="1526">
        <v>14</v>
      </c>
    </row>
    <row r="16" spans="1:22" ht="14.65" customHeight="1">
      <c r="A16" s="1526"/>
      <c r="C16" s="1435"/>
      <c r="D16" s="342"/>
      <c r="E16" s="796" t="s">
        <v>121</v>
      </c>
      <c r="F16" s="250"/>
      <c r="G16" s="250"/>
      <c r="H16" s="343"/>
      <c r="I16" s="343"/>
      <c r="J16" s="2407"/>
      <c r="K16" s="1526"/>
      <c r="V16" s="1526">
        <v>14</v>
      </c>
    </row>
    <row r="17" spans="1:22" ht="14.65" customHeight="1">
      <c r="K17" s="1526"/>
      <c r="V17" s="1526">
        <v>14</v>
      </c>
    </row>
    <row r="18" spans="1:22" ht="22.5" hidden="1" customHeight="1">
      <c r="A18" s="1527" t="s">
        <v>81</v>
      </c>
      <c r="B18" s="1526">
        <v>0</v>
      </c>
      <c r="C18" s="388">
        <v>3</v>
      </c>
      <c r="D18" s="1526">
        <v>5</v>
      </c>
      <c r="E18" s="1526">
        <v>38</v>
      </c>
      <c r="F18" s="1526">
        <v>3</v>
      </c>
      <c r="G18" s="1526">
        <v>3</v>
      </c>
      <c r="H18" s="1526">
        <v>38</v>
      </c>
      <c r="I18" s="1526">
        <v>35</v>
      </c>
      <c r="J18" s="1526">
        <v>103</v>
      </c>
      <c r="K18" s="1528">
        <v>3</v>
      </c>
      <c r="L18" s="1533">
        <v>10</v>
      </c>
      <c r="M18" s="1533">
        <v>10</v>
      </c>
      <c r="N18" s="1533">
        <v>10</v>
      </c>
      <c r="O18" s="1533">
        <v>13</v>
      </c>
      <c r="P18" s="1533">
        <v>15</v>
      </c>
      <c r="Q18" s="1533">
        <v>16</v>
      </c>
      <c r="R18" s="1533">
        <v>10</v>
      </c>
      <c r="S18" s="1533">
        <v>10</v>
      </c>
      <c r="T18" s="1533">
        <v>10</v>
      </c>
      <c r="U18" s="1533">
        <v>10</v>
      </c>
      <c r="V18" s="1526">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2205</vt:i4>
      </vt:variant>
    </vt:vector>
  </HeadingPairs>
  <TitlesOfParts>
    <vt:vector size="2294"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принт</cp:lastModifiedBy>
  <cp:lastPrinted>2024-04-19T12:48:09Z</cp:lastPrinted>
  <dcterms:created xsi:type="dcterms:W3CDTF">2004-05-21T07:18:45Z</dcterms:created>
  <dcterms:modified xsi:type="dcterms:W3CDTF">2024-04-19T12:48:16Z</dcterms:modified>
</cp:coreProperties>
</file>